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xml"/>
  <Override PartName="/xl/charts/chart8.xml" ContentType="application/vnd.openxmlformats-officedocument.drawingml.chart+xml"/>
  <Override PartName="/xl/drawings/drawing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320" windowHeight="7155" tabRatio="918" activeTab="1"/>
  </bookViews>
  <sheets>
    <sheet name="Escala" sheetId="13" r:id="rId1"/>
    <sheet name="S. FORMACION" sheetId="2" r:id="rId2"/>
    <sheet name="S. PROY. SOCIAL " sheetId="4" r:id="rId3"/>
    <sheet name="S. INVESTIGACIÓN" sheetId="3" r:id="rId4"/>
    <sheet name="S. BIENESTAR" sheetId="5" r:id="rId5"/>
    <sheet name="S. ADMINISTRATIVO" sheetId="6" r:id="rId6"/>
    <sheet name="Ejecución $" sheetId="20" state="hidden" r:id="rId7"/>
    <sheet name="Asignación" sheetId="19" state="hidden" r:id="rId8"/>
    <sheet name="BIENESTAR" sheetId="17" state="hidden" r:id="rId9"/>
    <sheet name="PROPYECCION SOCIAL" sheetId="16" state="hidden" r:id="rId10"/>
    <sheet name="INVESTIGACIÓN" sheetId="8" state="hidden" r:id="rId11"/>
    <sheet name="FORMACIÓN" sheetId="7" state="hidden" r:id="rId12"/>
    <sheet name="ADMINISTRATIVO" sheetId="18" state="hidden" r:id="rId13"/>
    <sheet name="Plan desarroollo" sheetId="15" state="hidden" r:id="rId14"/>
  </sheets>
  <externalReferences>
    <externalReference r:id="rId15"/>
    <externalReference r:id="rId16"/>
  </externalReferences>
  <definedNames>
    <definedName name="_xlnm.Print_Titles" localSheetId="5">'S. ADMINISTRATIVO'!$C:$F,'S. ADMINISTRATIVO'!$5:$7</definedName>
    <definedName name="_xlnm.Print_Titles" localSheetId="4">'S. BIENESTAR'!$C:$F,'S. BIENESTAR'!$1:$3</definedName>
    <definedName name="_xlnm.Print_Titles" localSheetId="1">'S. FORMACION'!$C:$F,'S. FORMACION'!$1:$3</definedName>
    <definedName name="_xlnm.Print_Titles" localSheetId="3">'S. INVESTIGACIÓN'!$C:$F,'S. INVESTIGACIÓN'!$2:$4</definedName>
    <definedName name="_xlnm.Print_Titles" localSheetId="2">'S. PROY. SOCIAL '!$C:$F,'S. PROY. SOCIAL '!$1:$3</definedName>
  </definedNames>
  <calcPr calcId="145621"/>
</workbook>
</file>

<file path=xl/calcChain.xml><?xml version="1.0" encoding="utf-8"?>
<calcChain xmlns="http://schemas.openxmlformats.org/spreadsheetml/2006/main">
  <c r="S9" i="6" l="1"/>
  <c r="T9" i="6"/>
  <c r="U9" i="6"/>
  <c r="S10" i="6"/>
  <c r="T10" i="6"/>
  <c r="U10" i="6" s="1"/>
  <c r="S11" i="6"/>
  <c r="T11" i="6"/>
  <c r="U11" i="6" s="1"/>
  <c r="S12" i="6"/>
  <c r="T12" i="6"/>
  <c r="U12" i="6"/>
  <c r="S13" i="6"/>
  <c r="T13" i="6"/>
  <c r="U13" i="6"/>
  <c r="S14" i="6"/>
  <c r="T14" i="6"/>
  <c r="U14" i="6" s="1"/>
  <c r="S15" i="6"/>
  <c r="T15" i="6"/>
  <c r="U15" i="6"/>
  <c r="S16" i="6"/>
  <c r="T16" i="6"/>
  <c r="U16" i="6" s="1"/>
  <c r="S17" i="6"/>
  <c r="T17" i="6"/>
  <c r="U17" i="6"/>
  <c r="S18" i="6"/>
  <c r="T18" i="6"/>
  <c r="U18" i="6" s="1"/>
  <c r="S19" i="6"/>
  <c r="U19" i="6" s="1"/>
  <c r="T19" i="6"/>
  <c r="S20" i="6"/>
  <c r="T20" i="6"/>
  <c r="U20" i="6" s="1"/>
  <c r="S21" i="6"/>
  <c r="U21" i="6" s="1"/>
  <c r="T21" i="6"/>
  <c r="S22" i="6"/>
  <c r="T22" i="6"/>
  <c r="U22" i="6" s="1"/>
  <c r="S23" i="6"/>
  <c r="U23" i="6" s="1"/>
  <c r="T23" i="6"/>
  <c r="S24" i="6"/>
  <c r="T24" i="6"/>
  <c r="U24" i="6" s="1"/>
  <c r="S25" i="6"/>
  <c r="U25" i="6" s="1"/>
  <c r="T25" i="6"/>
  <c r="S26" i="6"/>
  <c r="T26" i="6"/>
  <c r="U26" i="6" s="1"/>
  <c r="S27" i="6"/>
  <c r="U27" i="6" s="1"/>
  <c r="T27" i="6"/>
  <c r="T8" i="6"/>
  <c r="S8" i="6"/>
  <c r="U8" i="6" s="1"/>
  <c r="L23" i="4"/>
  <c r="K23" i="4"/>
  <c r="M23" i="4" s="1"/>
  <c r="H23" i="4"/>
  <c r="L22" i="4"/>
  <c r="K22" i="4"/>
  <c r="H22" i="4"/>
  <c r="L21" i="4"/>
  <c r="K21" i="4"/>
  <c r="H21" i="4"/>
  <c r="L20" i="4"/>
  <c r="M20" i="4" s="1"/>
  <c r="H20" i="4"/>
  <c r="L19" i="4"/>
  <c r="K19" i="4"/>
  <c r="H19" i="4"/>
  <c r="L18" i="4"/>
  <c r="K18" i="4"/>
  <c r="H18" i="4"/>
  <c r="L17" i="4"/>
  <c r="K17" i="4"/>
  <c r="M17" i="4" s="1"/>
  <c r="H17" i="4"/>
  <c r="L16" i="4"/>
  <c r="K16" i="4"/>
  <c r="H16" i="4"/>
  <c r="L15" i="4"/>
  <c r="K15" i="4"/>
  <c r="M15" i="4" s="1"/>
  <c r="H15" i="4"/>
  <c r="L14" i="4"/>
  <c r="K14" i="4"/>
  <c r="H14" i="4"/>
  <c r="L13" i="4"/>
  <c r="K13" i="4"/>
  <c r="M13" i="4" s="1"/>
  <c r="H13" i="4"/>
  <c r="L12" i="4"/>
  <c r="K12" i="4"/>
  <c r="H12" i="4"/>
  <c r="L11" i="4"/>
  <c r="K11" i="4"/>
  <c r="M11" i="4" s="1"/>
  <c r="H11" i="4"/>
  <c r="K10" i="4"/>
  <c r="M10" i="4" s="1"/>
  <c r="J10" i="4"/>
  <c r="L10" i="4" s="1"/>
  <c r="H10" i="4"/>
  <c r="L9" i="4"/>
  <c r="K9" i="4"/>
  <c r="M9" i="4" s="1"/>
  <c r="H9" i="4"/>
  <c r="L8" i="4"/>
  <c r="K8" i="4"/>
  <c r="H8" i="4"/>
  <c r="L7" i="4"/>
  <c r="K7" i="4"/>
  <c r="M7" i="4" s="1"/>
  <c r="H7" i="4"/>
  <c r="L6" i="4"/>
  <c r="K6" i="4"/>
  <c r="H6" i="4"/>
  <c r="L5" i="4"/>
  <c r="K5" i="4"/>
  <c r="M5" i="4" s="1"/>
  <c r="H5" i="4"/>
  <c r="L4" i="4"/>
  <c r="M4" i="4" s="1"/>
  <c r="H4" i="4"/>
  <c r="K3" i="4"/>
  <c r="J3" i="4"/>
  <c r="L3" i="4" s="1"/>
  <c r="H3" i="4"/>
  <c r="L34" i="3"/>
  <c r="K34" i="3"/>
  <c r="M34" i="3" s="1"/>
  <c r="H34" i="3"/>
  <c r="L33" i="3"/>
  <c r="K33" i="3"/>
  <c r="H33" i="3"/>
  <c r="L32" i="3"/>
  <c r="K32" i="3"/>
  <c r="H32" i="3"/>
  <c r="L31" i="3"/>
  <c r="K31" i="3"/>
  <c r="M31" i="3" s="1"/>
  <c r="H31" i="3"/>
  <c r="L30" i="3"/>
  <c r="K30" i="3"/>
  <c r="H30" i="3"/>
  <c r="L29" i="3"/>
  <c r="K29" i="3"/>
  <c r="H29" i="3"/>
  <c r="L28" i="3"/>
  <c r="K28" i="3"/>
  <c r="M28" i="3" s="1"/>
  <c r="H28" i="3"/>
  <c r="L27" i="3"/>
  <c r="K27" i="3"/>
  <c r="M27" i="3" s="1"/>
  <c r="H27" i="3"/>
  <c r="L26" i="3"/>
  <c r="K26" i="3"/>
  <c r="M26" i="3" s="1"/>
  <c r="H26" i="3"/>
  <c r="L25" i="3"/>
  <c r="K25" i="3"/>
  <c r="M25" i="3" s="1"/>
  <c r="H25" i="3"/>
  <c r="L24" i="3"/>
  <c r="K24" i="3"/>
  <c r="M24" i="3" s="1"/>
  <c r="H24" i="3"/>
  <c r="L23" i="3"/>
  <c r="K23" i="3"/>
  <c r="M23" i="3" s="1"/>
  <c r="H23" i="3"/>
  <c r="L22" i="3"/>
  <c r="K22" i="3"/>
  <c r="H22" i="3"/>
  <c r="L21" i="3"/>
  <c r="K21" i="3"/>
  <c r="M21" i="3" s="1"/>
  <c r="H21" i="3"/>
  <c r="L20" i="3"/>
  <c r="K20" i="3"/>
  <c r="H20" i="3"/>
  <c r="L19" i="3"/>
  <c r="K19" i="3"/>
  <c r="M19" i="3" s="1"/>
  <c r="H19" i="3"/>
  <c r="L18" i="3"/>
  <c r="K18" i="3"/>
  <c r="H18" i="3"/>
  <c r="L17" i="3"/>
  <c r="K17" i="3"/>
  <c r="M17" i="3" s="1"/>
  <c r="H17" i="3"/>
  <c r="L16" i="3"/>
  <c r="K16" i="3"/>
  <c r="M16" i="3" s="1"/>
  <c r="H16" i="3"/>
  <c r="L15" i="3"/>
  <c r="K15" i="3"/>
  <c r="M15" i="3" s="1"/>
  <c r="H15" i="3"/>
  <c r="L14" i="3"/>
  <c r="K14" i="3"/>
  <c r="M14" i="3" s="1"/>
  <c r="H14" i="3"/>
  <c r="L13" i="3"/>
  <c r="K13" i="3"/>
  <c r="M13" i="3" s="1"/>
  <c r="H13" i="3"/>
  <c r="L12" i="3"/>
  <c r="K12" i="3"/>
  <c r="M12" i="3" s="1"/>
  <c r="H12" i="3"/>
  <c r="L11" i="3"/>
  <c r="K11" i="3"/>
  <c r="M11" i="3" s="1"/>
  <c r="H11" i="3"/>
  <c r="L10" i="3"/>
  <c r="M10" i="3" s="1"/>
  <c r="H10" i="3"/>
  <c r="L9" i="3"/>
  <c r="K9" i="3"/>
  <c r="M9" i="3" s="1"/>
  <c r="H9" i="3"/>
  <c r="L8" i="3"/>
  <c r="K8" i="3"/>
  <c r="M8" i="3" s="1"/>
  <c r="H8" i="3"/>
  <c r="L7" i="3"/>
  <c r="K7" i="3"/>
  <c r="M7" i="3" s="1"/>
  <c r="H7" i="3"/>
  <c r="L6" i="3"/>
  <c r="K6" i="3"/>
  <c r="H6" i="3"/>
  <c r="L5" i="3"/>
  <c r="K5" i="3"/>
  <c r="M5" i="3" s="1"/>
  <c r="H5" i="3"/>
  <c r="L4" i="3"/>
  <c r="K4" i="3"/>
  <c r="H4" i="3"/>
  <c r="L3" i="3"/>
  <c r="K3" i="3"/>
  <c r="M3" i="3" s="1"/>
  <c r="H3" i="3"/>
  <c r="M6" i="4" l="1"/>
  <c r="M19" i="4"/>
  <c r="M8" i="4"/>
  <c r="M12" i="4"/>
  <c r="M14" i="4"/>
  <c r="M16" i="4"/>
  <c r="M18" i="4"/>
  <c r="M21" i="4"/>
  <c r="M22" i="4"/>
  <c r="M3" i="4"/>
  <c r="M18" i="3"/>
  <c r="M20" i="3"/>
  <c r="M32" i="3"/>
  <c r="M33" i="3"/>
  <c r="M4" i="3"/>
  <c r="M6" i="3"/>
  <c r="M22" i="3"/>
  <c r="M30" i="3"/>
  <c r="M29" i="3"/>
  <c r="X31" i="5" l="1"/>
  <c r="AL30" i="5"/>
  <c r="AK30" i="5"/>
  <c r="AH30" i="5"/>
  <c r="X30" i="5"/>
  <c r="W30" i="5"/>
  <c r="W31" i="5" s="1"/>
  <c r="T30" i="5"/>
  <c r="J30" i="5"/>
  <c r="I30" i="5"/>
  <c r="BB29" i="5"/>
  <c r="K29" i="5"/>
  <c r="E29" i="5"/>
  <c r="BB28" i="5"/>
  <c r="AU28" i="5"/>
  <c r="AT28" i="5"/>
  <c r="AM28" i="5"/>
  <c r="AG28" i="5"/>
  <c r="AF28" i="5"/>
  <c r="AH28" i="5" s="1"/>
  <c r="AE28" i="5"/>
  <c r="AC28" i="5"/>
  <c r="AA28" i="5"/>
  <c r="Y28" i="5"/>
  <c r="S28" i="5"/>
  <c r="R28" i="5"/>
  <c r="Q28" i="5"/>
  <c r="O28" i="5"/>
  <c r="T28" i="5" s="1"/>
  <c r="M28" i="5"/>
  <c r="K28" i="5"/>
  <c r="E28" i="5"/>
  <c r="D28" i="5"/>
  <c r="C28" i="5"/>
  <c r="BB27" i="5"/>
  <c r="AU27" i="5"/>
  <c r="AT27" i="5"/>
  <c r="AM27" i="5"/>
  <c r="AG27" i="5"/>
  <c r="AF27" i="5"/>
  <c r="AH27" i="5" s="1"/>
  <c r="AE27" i="5"/>
  <c r="AC27" i="5"/>
  <c r="AA27" i="5"/>
  <c r="Y27" i="5"/>
  <c r="S27" i="5"/>
  <c r="R27" i="5"/>
  <c r="Q27" i="5"/>
  <c r="O27" i="5"/>
  <c r="T27" i="5" s="1"/>
  <c r="M27" i="5"/>
  <c r="K27" i="5"/>
  <c r="E27" i="5"/>
  <c r="D27" i="5"/>
  <c r="C27" i="5"/>
  <c r="BB26" i="5"/>
  <c r="AU26" i="5"/>
  <c r="AT26" i="5"/>
  <c r="AM26" i="5"/>
  <c r="AH26" i="5"/>
  <c r="AI26" i="5" s="1"/>
  <c r="AF26" i="5"/>
  <c r="AE26" i="5"/>
  <c r="AC26" i="5"/>
  <c r="AA26" i="5"/>
  <c r="Y26" i="5"/>
  <c r="R26" i="5"/>
  <c r="Q26" i="5"/>
  <c r="O26" i="5"/>
  <c r="M26" i="5"/>
  <c r="T26" i="5" s="1"/>
  <c r="U26" i="5" s="1"/>
  <c r="D26" i="5"/>
  <c r="BB25" i="5"/>
  <c r="AU25" i="5"/>
  <c r="AT25" i="5"/>
  <c r="AM25" i="5"/>
  <c r="AF25" i="5"/>
  <c r="AH25" i="5" s="1"/>
  <c r="AI25" i="5" s="1"/>
  <c r="AE25" i="5"/>
  <c r="AC25" i="5"/>
  <c r="AA25" i="5"/>
  <c r="Y25" i="5"/>
  <c r="R25" i="5"/>
  <c r="Q25" i="5"/>
  <c r="O25" i="5"/>
  <c r="M25" i="5"/>
  <c r="T25" i="5" s="1"/>
  <c r="U25" i="5" s="1"/>
  <c r="D25" i="5"/>
  <c r="BB24" i="5"/>
  <c r="AU24" i="5"/>
  <c r="AT24" i="5"/>
  <c r="AM24" i="5"/>
  <c r="AH24" i="5"/>
  <c r="AI24" i="5" s="1"/>
  <c r="AF24" i="5"/>
  <c r="AE24" i="5"/>
  <c r="AC24" i="5"/>
  <c r="AA24" i="5"/>
  <c r="Y24" i="5"/>
  <c r="R24" i="5"/>
  <c r="Q24" i="5"/>
  <c r="O24" i="5"/>
  <c r="M24" i="5"/>
  <c r="D24" i="5"/>
  <c r="BB23" i="5"/>
  <c r="AU23" i="5"/>
  <c r="AT23" i="5"/>
  <c r="AM23" i="5"/>
  <c r="AG23" i="5"/>
  <c r="AF23" i="5"/>
  <c r="AH23" i="5" s="1"/>
  <c r="AI23" i="5" s="1"/>
  <c r="AE23" i="5"/>
  <c r="AC23" i="5"/>
  <c r="AA23" i="5"/>
  <c r="Y23" i="5"/>
  <c r="S23" i="5"/>
  <c r="U23" i="5" s="1"/>
  <c r="R23" i="5"/>
  <c r="Q23" i="5"/>
  <c r="O23" i="5"/>
  <c r="M23" i="5"/>
  <c r="T23" i="5" s="1"/>
  <c r="K23" i="5"/>
  <c r="C23" i="5"/>
  <c r="BB22" i="5"/>
  <c r="AT22" i="5"/>
  <c r="AM22" i="5"/>
  <c r="AH22" i="5"/>
  <c r="AI22" i="5" s="1"/>
  <c r="AF22" i="5"/>
  <c r="AE22" i="5"/>
  <c r="AC22" i="5"/>
  <c r="AA22" i="5"/>
  <c r="Y22" i="5"/>
  <c r="R22" i="5"/>
  <c r="Q22" i="5"/>
  <c r="O22" i="5"/>
  <c r="M22" i="5"/>
  <c r="T22" i="5" s="1"/>
  <c r="U22" i="5" s="1"/>
  <c r="D22" i="5"/>
  <c r="BB21" i="5"/>
  <c r="AU21" i="5"/>
  <c r="AT21" i="5"/>
  <c r="AM21" i="5"/>
  <c r="AG21" i="5"/>
  <c r="AI21" i="5" s="1"/>
  <c r="AF21" i="5"/>
  <c r="AH21" i="5" s="1"/>
  <c r="AE21" i="5"/>
  <c r="AC21" i="5"/>
  <c r="AA21" i="5"/>
  <c r="Y21" i="5"/>
  <c r="U21" i="5"/>
  <c r="AQ21" i="5" s="1"/>
  <c r="S21" i="5"/>
  <c r="R21" i="5"/>
  <c r="Q21" i="5"/>
  <c r="O21" i="5"/>
  <c r="M21" i="5"/>
  <c r="T21" i="5" s="1"/>
  <c r="K21" i="5"/>
  <c r="E21" i="5"/>
  <c r="D21" i="5"/>
  <c r="BB20" i="5"/>
  <c r="AT20" i="5"/>
  <c r="AH20" i="5"/>
  <c r="AI20" i="5" s="1"/>
  <c r="AE20" i="5"/>
  <c r="AC20" i="5"/>
  <c r="AA20" i="5"/>
  <c r="R20" i="5"/>
  <c r="Q20" i="5"/>
  <c r="O20" i="5"/>
  <c r="M20" i="5"/>
  <c r="T20" i="5" s="1"/>
  <c r="U20" i="5" s="1"/>
  <c r="BB19" i="5"/>
  <c r="AU19" i="5"/>
  <c r="AT19" i="5"/>
  <c r="AI19" i="5"/>
  <c r="AH19" i="5"/>
  <c r="AE19" i="5"/>
  <c r="AC19" i="5"/>
  <c r="AA19" i="5"/>
  <c r="R19" i="5"/>
  <c r="Q19" i="5"/>
  <c r="O19" i="5"/>
  <c r="M19" i="5"/>
  <c r="T19" i="5" s="1"/>
  <c r="U19" i="5" s="1"/>
  <c r="BB18" i="5"/>
  <c r="AU18" i="5"/>
  <c r="AT18" i="5"/>
  <c r="AM18" i="5"/>
  <c r="AG18" i="5"/>
  <c r="AI18" i="5" s="1"/>
  <c r="AF18" i="5"/>
  <c r="AH18" i="5" s="1"/>
  <c r="AE18" i="5"/>
  <c r="AC18" i="5"/>
  <c r="AA18" i="5"/>
  <c r="Y18" i="5"/>
  <c r="U18" i="5"/>
  <c r="AQ18" i="5" s="1"/>
  <c r="S18" i="5"/>
  <c r="R18" i="5"/>
  <c r="Q18" i="5"/>
  <c r="O18" i="5"/>
  <c r="M18" i="5"/>
  <c r="T18" i="5" s="1"/>
  <c r="K18" i="5"/>
  <c r="C18" i="5"/>
  <c r="BB17" i="5"/>
  <c r="AT17" i="5"/>
  <c r="AI17" i="5"/>
  <c r="AF17" i="5"/>
  <c r="AH17" i="5" s="1"/>
  <c r="AE17" i="5"/>
  <c r="AC17" i="5"/>
  <c r="AA17" i="5"/>
  <c r="R17" i="5"/>
  <c r="Q17" i="5"/>
  <c r="O17" i="5"/>
  <c r="M17" i="5"/>
  <c r="BB16" i="5"/>
  <c r="AU16" i="5"/>
  <c r="AT16" i="5"/>
  <c r="AM16" i="5"/>
  <c r="AG16" i="5"/>
  <c r="AF16" i="5"/>
  <c r="AH16" i="5" s="1"/>
  <c r="AI16" i="5" s="1"/>
  <c r="AE16" i="5"/>
  <c r="AC16" i="5"/>
  <c r="AA16" i="5"/>
  <c r="Y16" i="5"/>
  <c r="S16" i="5"/>
  <c r="U16" i="5" s="1"/>
  <c r="R16" i="5"/>
  <c r="Q16" i="5"/>
  <c r="O16" i="5"/>
  <c r="M16" i="5"/>
  <c r="T16" i="5" s="1"/>
  <c r="K16" i="5"/>
  <c r="E16" i="5"/>
  <c r="D16" i="5"/>
  <c r="C16" i="5"/>
  <c r="BB15" i="5"/>
  <c r="AT15" i="5"/>
  <c r="AF15" i="5"/>
  <c r="AH15" i="5" s="1"/>
  <c r="AI15" i="5" s="1"/>
  <c r="AE15" i="5"/>
  <c r="AC15" i="5"/>
  <c r="AA15" i="5"/>
  <c r="R15" i="5"/>
  <c r="Q15" i="5"/>
  <c r="O15" i="5"/>
  <c r="M15" i="5"/>
  <c r="T15" i="5" s="1"/>
  <c r="U15" i="5" s="1"/>
  <c r="BB14" i="5"/>
  <c r="AT14" i="5"/>
  <c r="AH14" i="5"/>
  <c r="AI14" i="5" s="1"/>
  <c r="AF14" i="5"/>
  <c r="AE14" i="5"/>
  <c r="AC14" i="5"/>
  <c r="AA14" i="5"/>
  <c r="R14" i="5"/>
  <c r="Q14" i="5"/>
  <c r="O14" i="5"/>
  <c r="M14" i="5"/>
  <c r="T14" i="5" s="1"/>
  <c r="U14" i="5" s="1"/>
  <c r="BB13" i="5"/>
  <c r="AT13" i="5"/>
  <c r="AI13" i="5"/>
  <c r="AF13" i="5"/>
  <c r="AH13" i="5" s="1"/>
  <c r="AE13" i="5"/>
  <c r="AC13" i="5"/>
  <c r="AA13" i="5"/>
  <c r="R13" i="5"/>
  <c r="Q13" i="5"/>
  <c r="O13" i="5"/>
  <c r="M13" i="5"/>
  <c r="BB12" i="5"/>
  <c r="AU12" i="5"/>
  <c r="AT12" i="5"/>
  <c r="AM12" i="5"/>
  <c r="AG12" i="5"/>
  <c r="AF12" i="5"/>
  <c r="AH12" i="5" s="1"/>
  <c r="AE12" i="5"/>
  <c r="AC12" i="5"/>
  <c r="AA12" i="5"/>
  <c r="Y12" i="5"/>
  <c r="S12" i="5"/>
  <c r="R12" i="5"/>
  <c r="Q12" i="5"/>
  <c r="O12" i="5"/>
  <c r="T12" i="5" s="1"/>
  <c r="M12" i="5"/>
  <c r="K12" i="5"/>
  <c r="E12" i="5"/>
  <c r="D12" i="5"/>
  <c r="C12" i="5"/>
  <c r="BB11" i="5"/>
  <c r="AT11" i="5"/>
  <c r="AF11" i="5"/>
  <c r="AH11" i="5" s="1"/>
  <c r="AI11" i="5" s="1"/>
  <c r="AE11" i="5"/>
  <c r="AC11" i="5"/>
  <c r="AA11" i="5"/>
  <c r="R11" i="5"/>
  <c r="Q11" i="5"/>
  <c r="O11" i="5"/>
  <c r="M11" i="5"/>
  <c r="T11" i="5" s="1"/>
  <c r="U11" i="5" s="1"/>
  <c r="BB10" i="5"/>
  <c r="AU10" i="5"/>
  <c r="AT10" i="5"/>
  <c r="AM10" i="5"/>
  <c r="AG10" i="5"/>
  <c r="AI10" i="5" s="1"/>
  <c r="AF10" i="5"/>
  <c r="AH10" i="5" s="1"/>
  <c r="AE10" i="5"/>
  <c r="AC10" i="5"/>
  <c r="AA10" i="5"/>
  <c r="Y10" i="5"/>
  <c r="S10" i="5"/>
  <c r="U10" i="5" s="1"/>
  <c r="R10" i="5"/>
  <c r="Q10" i="5"/>
  <c r="O10" i="5"/>
  <c r="T10" i="5" s="1"/>
  <c r="M10" i="5"/>
  <c r="K10" i="5"/>
  <c r="E10" i="5"/>
  <c r="D10" i="5"/>
  <c r="C10" i="5"/>
  <c r="BB9" i="5"/>
  <c r="AV9" i="5"/>
  <c r="AW9" i="5" s="1"/>
  <c r="AT9" i="5"/>
  <c r="AS9" i="5"/>
  <c r="AQ9" i="5"/>
  <c r="AF9" i="5"/>
  <c r="AH9" i="5" s="1"/>
  <c r="AI9" i="5" s="1"/>
  <c r="AE9" i="5"/>
  <c r="AC9" i="5"/>
  <c r="AA9" i="5"/>
  <c r="R9" i="5"/>
  <c r="Q9" i="5"/>
  <c r="O9" i="5"/>
  <c r="M9" i="5"/>
  <c r="BB8" i="5"/>
  <c r="AU8" i="5"/>
  <c r="AT8" i="5"/>
  <c r="AM8" i="5"/>
  <c r="AG8" i="5"/>
  <c r="AI8" i="5" s="1"/>
  <c r="AF8" i="5"/>
  <c r="AH8" i="5" s="1"/>
  <c r="AE8" i="5"/>
  <c r="AC8" i="5"/>
  <c r="AA8" i="5"/>
  <c r="Y8" i="5"/>
  <c r="S8" i="5"/>
  <c r="U8" i="5" s="1"/>
  <c r="R8" i="5"/>
  <c r="Q8" i="5"/>
  <c r="O8" i="5"/>
  <c r="T8" i="5" s="1"/>
  <c r="M8" i="5"/>
  <c r="K8" i="5"/>
  <c r="E8" i="5"/>
  <c r="D8" i="5"/>
  <c r="C8" i="5"/>
  <c r="BB7" i="5"/>
  <c r="AU7" i="5"/>
  <c r="AT7" i="5"/>
  <c r="AM7" i="5"/>
  <c r="AG7" i="5"/>
  <c r="AF7" i="5"/>
  <c r="AH7" i="5" s="1"/>
  <c r="AE7" i="5"/>
  <c r="AC7" i="5"/>
  <c r="AA7" i="5"/>
  <c r="Y7" i="5"/>
  <c r="S7" i="5"/>
  <c r="R7" i="5"/>
  <c r="Q7" i="5"/>
  <c r="O7" i="5"/>
  <c r="T7" i="5" s="1"/>
  <c r="M7" i="5"/>
  <c r="K7" i="5"/>
  <c r="E7" i="5"/>
  <c r="D7" i="5"/>
  <c r="C7" i="5"/>
  <c r="BB6" i="5"/>
  <c r="AU6" i="5"/>
  <c r="AT6" i="5"/>
  <c r="AM6" i="5"/>
  <c r="AG6" i="5"/>
  <c r="AI6" i="5" s="1"/>
  <c r="AF6" i="5"/>
  <c r="AH6" i="5" s="1"/>
  <c r="AE6" i="5"/>
  <c r="AC6" i="5"/>
  <c r="AA6" i="5"/>
  <c r="Y6" i="5"/>
  <c r="S6" i="5"/>
  <c r="U6" i="5" s="1"/>
  <c r="R6" i="5"/>
  <c r="Q6" i="5"/>
  <c r="O6" i="5"/>
  <c r="T6" i="5" s="1"/>
  <c r="M6" i="5"/>
  <c r="K6" i="5"/>
  <c r="E6" i="5"/>
  <c r="D6" i="5"/>
  <c r="C6" i="5"/>
  <c r="BB5" i="5"/>
  <c r="AU5" i="5"/>
  <c r="AT5" i="5"/>
  <c r="AM5" i="5"/>
  <c r="AG5" i="5"/>
  <c r="AF5" i="5"/>
  <c r="AH5" i="5" s="1"/>
  <c r="AE5" i="5"/>
  <c r="AC5" i="5"/>
  <c r="AA5" i="5"/>
  <c r="Y5" i="5"/>
  <c r="S5" i="5"/>
  <c r="R5" i="5"/>
  <c r="Q5" i="5"/>
  <c r="O5" i="5"/>
  <c r="T5" i="5" s="1"/>
  <c r="M5" i="5"/>
  <c r="K5" i="5"/>
  <c r="E5" i="5"/>
  <c r="D5" i="5"/>
  <c r="C5" i="5"/>
  <c r="BB4" i="5"/>
  <c r="AU4" i="5"/>
  <c r="AT4" i="5"/>
  <c r="AM4" i="5"/>
  <c r="AM30" i="5" s="1"/>
  <c r="AG4" i="5"/>
  <c r="AI4" i="5" s="1"/>
  <c r="AF4" i="5"/>
  <c r="AH4" i="5" s="1"/>
  <c r="AE4" i="5"/>
  <c r="AC4" i="5"/>
  <c r="AA4" i="5"/>
  <c r="Y4" i="5"/>
  <c r="Y30" i="5" s="1"/>
  <c r="Y31" i="5" s="1"/>
  <c r="S4" i="5"/>
  <c r="U4" i="5" s="1"/>
  <c r="R4" i="5"/>
  <c r="Q4" i="5"/>
  <c r="O4" i="5"/>
  <c r="T4" i="5" s="1"/>
  <c r="M4" i="5"/>
  <c r="K4" i="5"/>
  <c r="K30" i="5" s="1"/>
  <c r="E4" i="5"/>
  <c r="D4" i="5"/>
  <c r="C4" i="5"/>
  <c r="AS4" i="5" l="1"/>
  <c r="AO4" i="5"/>
  <c r="AQ4" i="5"/>
  <c r="AV4" i="5"/>
  <c r="AS6" i="5"/>
  <c r="AO6" i="5"/>
  <c r="AQ6" i="5"/>
  <c r="AV6" i="5"/>
  <c r="AW7" i="5"/>
  <c r="AS8" i="5"/>
  <c r="AO8" i="5"/>
  <c r="AQ8" i="5"/>
  <c r="AV8" i="5"/>
  <c r="AS10" i="5"/>
  <c r="AO10" i="5"/>
  <c r="AQ10" i="5"/>
  <c r="AV10" i="5"/>
  <c r="AW10" i="5" s="1"/>
  <c r="AS15" i="5"/>
  <c r="AO15" i="5"/>
  <c r="AQ15" i="5"/>
  <c r="AS16" i="5"/>
  <c r="AQ16" i="5"/>
  <c r="AV16" i="5"/>
  <c r="AS19" i="5"/>
  <c r="AO19" i="5"/>
  <c r="AQ19" i="5"/>
  <c r="AQ20" i="5"/>
  <c r="AO20" i="5"/>
  <c r="AV20" i="5"/>
  <c r="AW20" i="5" s="1"/>
  <c r="AS20" i="5"/>
  <c r="AS22" i="5"/>
  <c r="AO22" i="5"/>
  <c r="AQ22" i="5"/>
  <c r="AV24" i="5"/>
  <c r="AQ25" i="5"/>
  <c r="AO25" i="5"/>
  <c r="AS25" i="5"/>
  <c r="AS26" i="5"/>
  <c r="AO26" i="5"/>
  <c r="AQ26" i="5"/>
  <c r="AW4" i="5"/>
  <c r="U5" i="5"/>
  <c r="AI5" i="5"/>
  <c r="AV5" i="5"/>
  <c r="AW5" i="5" s="1"/>
  <c r="AW6" i="5"/>
  <c r="U7" i="5"/>
  <c r="AI7" i="5"/>
  <c r="AV7" i="5"/>
  <c r="AW8" i="5"/>
  <c r="AQ11" i="5"/>
  <c r="AO11" i="5"/>
  <c r="AV11" i="5"/>
  <c r="AW11" i="5" s="1"/>
  <c r="AS11" i="5"/>
  <c r="AV12" i="5"/>
  <c r="AQ14" i="5"/>
  <c r="AO14" i="5"/>
  <c r="AV14" i="5"/>
  <c r="AW14" i="5" s="1"/>
  <c r="AS14" i="5"/>
  <c r="AV19" i="5"/>
  <c r="AW21" i="5"/>
  <c r="AQ23" i="5"/>
  <c r="AS23" i="5"/>
  <c r="AO23" i="5"/>
  <c r="AW25" i="5"/>
  <c r="AV26" i="5"/>
  <c r="AV28" i="5"/>
  <c r="U12" i="5"/>
  <c r="AW12" i="5"/>
  <c r="AW16" i="5"/>
  <c r="AS18" i="5"/>
  <c r="AS21" i="5"/>
  <c r="AV23" i="5"/>
  <c r="AW23" i="5" s="1"/>
  <c r="AW26" i="5"/>
  <c r="AI27" i="5"/>
  <c r="U28" i="5"/>
  <c r="AW28" i="5"/>
  <c r="AI12" i="5"/>
  <c r="T13" i="5"/>
  <c r="U13" i="5" s="1"/>
  <c r="AV15" i="5"/>
  <c r="AW15" i="5" s="1"/>
  <c r="T17" i="5"/>
  <c r="U17" i="5" s="1"/>
  <c r="AO18" i="5"/>
  <c r="AV18" i="5"/>
  <c r="AW18" i="5" s="1"/>
  <c r="AW19" i="5"/>
  <c r="AO21" i="5"/>
  <c r="AV21" i="5"/>
  <c r="AV22" i="5"/>
  <c r="AW22" i="5" s="1"/>
  <c r="T24" i="5"/>
  <c r="U24" i="5" s="1"/>
  <c r="AW24" i="5"/>
  <c r="AV25" i="5"/>
  <c r="U27" i="5"/>
  <c r="AI28" i="5"/>
  <c r="S30" i="5"/>
  <c r="U30" i="5" s="1"/>
  <c r="AG30" i="5"/>
  <c r="AI30" i="5" s="1"/>
  <c r="AS27" i="5" l="1"/>
  <c r="AO27" i="5"/>
  <c r="AQ27" i="5"/>
  <c r="AS17" i="5"/>
  <c r="AO17" i="5"/>
  <c r="AQ17" i="5"/>
  <c r="AS13" i="5"/>
  <c r="AO13" i="5"/>
  <c r="AQ13" i="5"/>
  <c r="AS24" i="5"/>
  <c r="AO24" i="5"/>
  <c r="AQ24" i="5"/>
  <c r="AS28" i="5"/>
  <c r="AO28" i="5"/>
  <c r="AQ28" i="5"/>
  <c r="AV17" i="5"/>
  <c r="AW17" i="5" s="1"/>
  <c r="AV13" i="5"/>
  <c r="AW13" i="5" s="1"/>
  <c r="AS12" i="5"/>
  <c r="AO12" i="5"/>
  <c r="AQ12" i="5"/>
  <c r="AS7" i="5"/>
  <c r="AO7" i="5"/>
  <c r="AQ7" i="5"/>
  <c r="AS5" i="5"/>
  <c r="AO5" i="5"/>
  <c r="AQ5" i="5"/>
  <c r="AV27" i="5"/>
  <c r="AW27" i="5" s="1"/>
  <c r="R27" i="6" l="1"/>
  <c r="K27" i="6"/>
  <c r="E27" i="6"/>
  <c r="D27" i="6"/>
  <c r="C27" i="6"/>
  <c r="E26" i="6"/>
  <c r="D26" i="6"/>
  <c r="C26" i="6"/>
  <c r="E25" i="6"/>
  <c r="D25" i="6"/>
  <c r="C25" i="6"/>
  <c r="R24" i="6"/>
  <c r="K24" i="6"/>
  <c r="E24" i="6"/>
  <c r="D24" i="6"/>
  <c r="C24" i="6"/>
  <c r="R23" i="6"/>
  <c r="K23" i="6"/>
  <c r="E23" i="6"/>
  <c r="D23" i="6"/>
  <c r="C23" i="6"/>
  <c r="R22" i="6"/>
  <c r="K22" i="6"/>
  <c r="E22" i="6"/>
  <c r="D22" i="6"/>
  <c r="C22" i="6"/>
  <c r="E21" i="6"/>
  <c r="D21" i="6"/>
  <c r="C21" i="6"/>
  <c r="E20" i="6"/>
  <c r="D20" i="6"/>
  <c r="C20" i="6"/>
  <c r="R19" i="6"/>
  <c r="K19" i="6"/>
  <c r="E19" i="6"/>
  <c r="D19" i="6"/>
  <c r="C19" i="6"/>
  <c r="R18" i="6"/>
  <c r="K18" i="6"/>
  <c r="E18" i="6"/>
  <c r="D18" i="6"/>
  <c r="C18" i="6"/>
  <c r="R17" i="6"/>
  <c r="K17" i="6"/>
  <c r="E17" i="6"/>
  <c r="D17" i="6"/>
  <c r="C17" i="6"/>
  <c r="R16" i="6"/>
  <c r="K16" i="6"/>
  <c r="E16" i="6"/>
  <c r="D16" i="6"/>
  <c r="C16" i="6"/>
  <c r="R15" i="6"/>
  <c r="K15" i="6"/>
  <c r="E15" i="6"/>
  <c r="D15" i="6"/>
  <c r="C15" i="6"/>
  <c r="R14" i="6"/>
  <c r="K14" i="6"/>
  <c r="E14" i="6"/>
  <c r="D14" i="6"/>
  <c r="C14" i="6"/>
  <c r="Q13" i="6"/>
  <c r="O13" i="6"/>
  <c r="M13" i="6"/>
  <c r="E13" i="6"/>
  <c r="D13" i="6"/>
  <c r="C13" i="6"/>
  <c r="R12" i="6"/>
  <c r="K12" i="6"/>
  <c r="E12" i="6"/>
  <c r="D12" i="6"/>
  <c r="C12" i="6"/>
  <c r="R11" i="6"/>
  <c r="K11" i="6"/>
  <c r="E11" i="6"/>
  <c r="D11" i="6"/>
  <c r="C11" i="6"/>
  <c r="E10" i="6"/>
  <c r="D10" i="6"/>
  <c r="C10" i="6"/>
  <c r="E9" i="6"/>
  <c r="D9" i="6"/>
  <c r="C9" i="6"/>
  <c r="E8" i="6"/>
  <c r="D8" i="6"/>
  <c r="C8" i="6"/>
  <c r="T17" i="2" l="1"/>
  <c r="T6" i="2" l="1"/>
  <c r="T8" i="2"/>
  <c r="T10" i="2"/>
  <c r="R12" i="2"/>
  <c r="T12" i="2" s="1"/>
  <c r="T14" i="2"/>
  <c r="T16" i="2"/>
  <c r="T18" i="2"/>
  <c r="R20" i="2"/>
  <c r="T20" i="2" s="1"/>
  <c r="T22" i="2"/>
  <c r="T24" i="2"/>
  <c r="T5" i="2"/>
  <c r="T9" i="2"/>
  <c r="T11" i="2"/>
  <c r="T13" i="2"/>
  <c r="T15" i="2"/>
  <c r="T19" i="2"/>
  <c r="T21" i="2"/>
  <c r="T23" i="2"/>
  <c r="T25" i="2"/>
  <c r="S5" i="2"/>
  <c r="S6" i="2"/>
  <c r="S7" i="2"/>
  <c r="U7" i="2" s="1"/>
  <c r="S8" i="2"/>
  <c r="S9" i="2"/>
  <c r="S10" i="2"/>
  <c r="S11" i="2"/>
  <c r="S12" i="2"/>
  <c r="S13" i="2"/>
  <c r="S14" i="2"/>
  <c r="S15" i="2"/>
  <c r="S16" i="2"/>
  <c r="S17" i="2"/>
  <c r="U17" i="2" s="1"/>
  <c r="S18" i="2"/>
  <c r="S19" i="2"/>
  <c r="S20" i="2"/>
  <c r="S21" i="2"/>
  <c r="S22" i="2"/>
  <c r="S23" i="2"/>
  <c r="S24" i="2"/>
  <c r="S25" i="2"/>
  <c r="S4" i="2"/>
  <c r="T4" i="2"/>
  <c r="U4" i="2" s="1"/>
  <c r="G26" i="2"/>
  <c r="J26" i="2"/>
  <c r="K28" i="2" s="1"/>
  <c r="I26" i="2"/>
  <c r="K26" i="2" s="1"/>
  <c r="U23" i="2" l="1"/>
  <c r="U19" i="2"/>
  <c r="U15" i="2"/>
  <c r="U11" i="2"/>
  <c r="U24" i="2"/>
  <c r="U20" i="2"/>
  <c r="U16" i="2"/>
  <c r="U12" i="2"/>
  <c r="U8" i="2"/>
  <c r="U25" i="2"/>
  <c r="U21" i="2"/>
  <c r="U13" i="2"/>
  <c r="U9" i="2"/>
  <c r="U5" i="2"/>
  <c r="U22" i="2"/>
  <c r="U18" i="2"/>
  <c r="U14" i="2"/>
  <c r="U10" i="2"/>
  <c r="U6" i="2"/>
  <c r="K5" i="2"/>
  <c r="K6" i="2"/>
  <c r="K7" i="2"/>
  <c r="K8" i="2"/>
  <c r="K9" i="2"/>
  <c r="K10" i="2"/>
  <c r="K11" i="2"/>
  <c r="K12" i="2"/>
  <c r="K13" i="2"/>
  <c r="K14" i="2"/>
  <c r="K15" i="2"/>
  <c r="K16" i="2"/>
  <c r="K17" i="2"/>
  <c r="K18" i="2"/>
  <c r="K19" i="2"/>
  <c r="K20" i="2"/>
  <c r="K21" i="2"/>
  <c r="K22" i="2"/>
  <c r="K23" i="2"/>
  <c r="K24" i="2"/>
  <c r="K25" i="2"/>
  <c r="K4" i="2"/>
  <c r="J27" i="16" l="1"/>
  <c r="K28" i="8"/>
  <c r="K31" i="8"/>
  <c r="K32" i="8"/>
  <c r="K33" i="8"/>
  <c r="K34" i="8"/>
  <c r="K35" i="8"/>
  <c r="K36" i="8"/>
  <c r="K37" i="8"/>
  <c r="S15" i="16"/>
  <c r="J34" i="20" s="1"/>
  <c r="R15" i="16"/>
  <c r="I34" i="20" s="1"/>
  <c r="S14" i="16"/>
  <c r="J33" i="20" s="1"/>
  <c r="R14" i="16"/>
  <c r="I33" i="20" s="1"/>
  <c r="S13" i="16"/>
  <c r="J32" i="20" s="1"/>
  <c r="R13" i="16"/>
  <c r="I32" i="20" s="1"/>
  <c r="S12" i="16"/>
  <c r="J31" i="20" s="1"/>
  <c r="R12" i="16"/>
  <c r="I31" i="20" s="1"/>
  <c r="S11" i="16"/>
  <c r="J30" i="20" s="1"/>
  <c r="R11" i="16"/>
  <c r="I30" i="20" s="1"/>
  <c r="S10" i="16"/>
  <c r="J29" i="20" s="1"/>
  <c r="R10" i="16"/>
  <c r="I29" i="20" s="1"/>
  <c r="S9" i="16"/>
  <c r="J28" i="20" s="1"/>
  <c r="R9" i="16"/>
  <c r="I28" i="20" s="1"/>
  <c r="S8" i="16"/>
  <c r="J27" i="20" s="1"/>
  <c r="R8" i="16"/>
  <c r="I27" i="20" s="1"/>
  <c r="A11" i="16"/>
  <c r="A8" i="16"/>
  <c r="D9" i="16"/>
  <c r="J9" i="16" s="1"/>
  <c r="D12" i="16"/>
  <c r="J12" i="16" s="1"/>
  <c r="D16" i="16"/>
  <c r="J16" i="16" s="1"/>
  <c r="D18" i="16"/>
  <c r="J18" i="16" s="1"/>
  <c r="D21" i="16"/>
  <c r="J21" i="16" s="1"/>
  <c r="N13" i="16" s="1"/>
  <c r="D22" i="16"/>
  <c r="J22" i="16" s="1"/>
  <c r="D23" i="16"/>
  <c r="J23" i="16" s="1"/>
  <c r="D25" i="16"/>
  <c r="J25" i="16" s="1"/>
  <c r="A63" i="8"/>
  <c r="A62" i="8"/>
  <c r="T8" i="8"/>
  <c r="S8" i="8"/>
  <c r="I14" i="20" s="1"/>
  <c r="J14" i="20"/>
  <c r="T16" i="8"/>
  <c r="J22" i="20" s="1"/>
  <c r="S16" i="8"/>
  <c r="I22" i="20" s="1"/>
  <c r="T15" i="8"/>
  <c r="S15" i="8"/>
  <c r="I21" i="20" s="1"/>
  <c r="T14" i="8"/>
  <c r="J20" i="20" s="1"/>
  <c r="T13" i="8"/>
  <c r="J19" i="20" s="1"/>
  <c r="T12" i="8"/>
  <c r="J18" i="20" s="1"/>
  <c r="T11" i="8"/>
  <c r="J17" i="20" s="1"/>
  <c r="S11" i="8"/>
  <c r="I17" i="20" s="1"/>
  <c r="T10" i="8"/>
  <c r="J16" i="20" s="1"/>
  <c r="S10" i="8"/>
  <c r="I16" i="20" s="1"/>
  <c r="T9" i="8"/>
  <c r="J15" i="20" s="1"/>
  <c r="S9" i="8"/>
  <c r="I15" i="20" s="1"/>
  <c r="D9" i="8"/>
  <c r="K9" i="8" s="1"/>
  <c r="D10" i="8"/>
  <c r="K10" i="8" s="1"/>
  <c r="D11" i="8"/>
  <c r="K11" i="8" s="1"/>
  <c r="D12" i="8"/>
  <c r="K12" i="8" s="1"/>
  <c r="D13" i="8"/>
  <c r="K13" i="8" s="1"/>
  <c r="D14" i="8"/>
  <c r="K14" i="8" s="1"/>
  <c r="D15" i="8"/>
  <c r="K15" i="8" s="1"/>
  <c r="D16" i="8"/>
  <c r="K16" i="8" s="1"/>
  <c r="D17" i="8"/>
  <c r="K17" i="8" s="1"/>
  <c r="D18" i="8"/>
  <c r="K18" i="8" s="1"/>
  <c r="D19" i="8"/>
  <c r="K19" i="8" s="1"/>
  <c r="D20" i="8"/>
  <c r="K20" i="8" s="1"/>
  <c r="D21" i="8"/>
  <c r="K21" i="8" s="1"/>
  <c r="D22" i="8"/>
  <c r="K22" i="8" s="1"/>
  <c r="D23" i="8"/>
  <c r="K23" i="8" s="1"/>
  <c r="D24" i="8"/>
  <c r="K24" i="8" s="1"/>
  <c r="D25" i="8"/>
  <c r="K25" i="8" s="1"/>
  <c r="D26" i="8"/>
  <c r="K26" i="8" s="1"/>
  <c r="D27" i="8"/>
  <c r="K27" i="8" s="1"/>
  <c r="D29" i="8"/>
  <c r="K29" i="8" s="1"/>
  <c r="D30" i="8"/>
  <c r="K30" i="8" s="1"/>
  <c r="D38" i="8"/>
  <c r="K38" i="8" s="1"/>
  <c r="D39" i="8"/>
  <c r="K39" i="8" s="1"/>
  <c r="D40" i="8"/>
  <c r="K40" i="8" s="1"/>
  <c r="D41" i="8"/>
  <c r="K41" i="8" s="1"/>
  <c r="D42" i="8"/>
  <c r="K42" i="8" s="1"/>
  <c r="D43" i="8"/>
  <c r="K43" i="8" s="1"/>
  <c r="D44" i="8"/>
  <c r="K44" i="8" s="1"/>
  <c r="D45" i="8"/>
  <c r="K45" i="8" s="1"/>
  <c r="D46" i="8"/>
  <c r="D47" i="8"/>
  <c r="D48" i="8"/>
  <c r="D8" i="8"/>
  <c r="U15" i="8" l="1"/>
  <c r="F41" i="8" s="1"/>
  <c r="C64" i="8" s="1"/>
  <c r="N15" i="8"/>
  <c r="M15" i="8"/>
  <c r="P15" i="8"/>
  <c r="O15" i="8"/>
  <c r="N14" i="8"/>
  <c r="M14" i="8"/>
  <c r="P14" i="8"/>
  <c r="O14" i="8"/>
  <c r="T17" i="8"/>
  <c r="J21" i="20"/>
  <c r="K21" i="20" s="1"/>
  <c r="O14" i="16"/>
  <c r="D24" i="16"/>
  <c r="J24" i="16" s="1"/>
  <c r="N15" i="16" s="1"/>
  <c r="N14" i="16"/>
  <c r="D20" i="16"/>
  <c r="J20" i="16" s="1"/>
  <c r="D15" i="16"/>
  <c r="J15" i="16" s="1"/>
  <c r="D11" i="16"/>
  <c r="J11" i="16" s="1"/>
  <c r="L11" i="16" s="1"/>
  <c r="D26" i="16"/>
  <c r="J26" i="16" s="1"/>
  <c r="D19" i="16"/>
  <c r="J19" i="16" s="1"/>
  <c r="O12" i="16" s="1"/>
  <c r="D14" i="16"/>
  <c r="J14" i="16" s="1"/>
  <c r="D10" i="16"/>
  <c r="J10" i="16" s="1"/>
  <c r="J35" i="20"/>
  <c r="M13" i="16"/>
  <c r="O13" i="16"/>
  <c r="M14" i="16"/>
  <c r="M15" i="16"/>
  <c r="L12" i="16"/>
  <c r="L13" i="16"/>
  <c r="L14" i="16"/>
  <c r="L15" i="16"/>
  <c r="D17" i="16"/>
  <c r="J17" i="16" s="1"/>
  <c r="N11" i="16" s="1"/>
  <c r="I35" i="20"/>
  <c r="U16" i="8"/>
  <c r="F43" i="8" s="1"/>
  <c r="K22" i="20"/>
  <c r="M22" i="20"/>
  <c r="M21" i="20" l="1"/>
  <c r="O15" i="16"/>
  <c r="N12" i="16"/>
  <c r="N9" i="16"/>
  <c r="O9" i="16"/>
  <c r="M9" i="16"/>
  <c r="M12" i="16"/>
  <c r="O11" i="16"/>
  <c r="L9" i="16"/>
  <c r="M11" i="16"/>
  <c r="D13" i="16"/>
  <c r="J13" i="16" s="1"/>
  <c r="L50" i="20"/>
  <c r="AF13" i="18"/>
  <c r="J55" i="20" s="1"/>
  <c r="AE13" i="18"/>
  <c r="I55" i="20" s="1"/>
  <c r="AF12" i="18"/>
  <c r="J54" i="20" s="1"/>
  <c r="AE12" i="18"/>
  <c r="I54" i="20" s="1"/>
  <c r="AF11" i="18"/>
  <c r="J53" i="20" s="1"/>
  <c r="AE11" i="18"/>
  <c r="I53" i="20" s="1"/>
  <c r="AF10" i="18"/>
  <c r="J52" i="20" s="1"/>
  <c r="AE10" i="18"/>
  <c r="I52" i="20" s="1"/>
  <c r="AF9" i="18"/>
  <c r="J51" i="20" s="1"/>
  <c r="AE9" i="18"/>
  <c r="I51" i="20" s="1"/>
  <c r="AF8" i="18"/>
  <c r="J50" i="20" s="1"/>
  <c r="J56" i="20" s="1"/>
  <c r="AE8" i="18"/>
  <c r="I50" i="20" s="1"/>
  <c r="A21" i="18"/>
  <c r="A35" i="18" s="1"/>
  <c r="A20" i="18"/>
  <c r="A34" i="18" s="1"/>
  <c r="A13" i="18"/>
  <c r="A33" i="18" s="1"/>
  <c r="AD8" i="18"/>
  <c r="K51" i="20" l="1"/>
  <c r="K53" i="20"/>
  <c r="K55" i="20"/>
  <c r="I56" i="20"/>
  <c r="K50" i="20"/>
  <c r="K56" i="20" s="1"/>
  <c r="L10" i="16"/>
  <c r="M10" i="16"/>
  <c r="N10" i="16"/>
  <c r="O10" i="16"/>
  <c r="K54" i="20"/>
  <c r="K52" i="20"/>
  <c r="A37" i="7" l="1"/>
  <c r="AD14" i="7"/>
  <c r="AC14" i="7"/>
  <c r="AD13" i="7"/>
  <c r="AC13" i="7"/>
  <c r="AD12" i="7"/>
  <c r="AC12" i="7"/>
  <c r="AD11" i="7"/>
  <c r="AC11" i="7"/>
  <c r="AD10" i="7"/>
  <c r="AC10" i="7"/>
  <c r="AD9" i="7"/>
  <c r="AC9" i="7"/>
  <c r="AD8" i="7"/>
  <c r="AC8" i="7"/>
  <c r="D23" i="7"/>
  <c r="U23" i="7" s="1"/>
  <c r="D24" i="7"/>
  <c r="U24" i="7" s="1"/>
  <c r="AE14" i="7" l="1"/>
  <c r="F25" i="7" s="1"/>
  <c r="C38" i="7" s="1"/>
  <c r="D16" i="7"/>
  <c r="U16" i="7" s="1"/>
  <c r="D20" i="7"/>
  <c r="U20" i="7" s="1"/>
  <c r="D26" i="7"/>
  <c r="U26" i="7" s="1"/>
  <c r="D27" i="7"/>
  <c r="U27" i="7" s="1"/>
  <c r="D9" i="7"/>
  <c r="U9" i="7" s="1"/>
  <c r="D10" i="7"/>
  <c r="U10" i="7" s="1"/>
  <c r="S13" i="17"/>
  <c r="J45" i="20" s="1"/>
  <c r="R13" i="17"/>
  <c r="I45" i="20" s="1"/>
  <c r="S12" i="17"/>
  <c r="J44" i="20" s="1"/>
  <c r="R12" i="17"/>
  <c r="I44" i="20" s="1"/>
  <c r="S11" i="17"/>
  <c r="J43" i="20" s="1"/>
  <c r="R11" i="17"/>
  <c r="I43" i="20" s="1"/>
  <c r="S10" i="17"/>
  <c r="J42" i="20" s="1"/>
  <c r="R10" i="17"/>
  <c r="I42" i="20" s="1"/>
  <c r="S9" i="17"/>
  <c r="J41" i="20" s="1"/>
  <c r="R9" i="17"/>
  <c r="I41" i="20" s="1"/>
  <c r="S8" i="17"/>
  <c r="J40" i="20" s="1"/>
  <c r="R8" i="17"/>
  <c r="I40" i="20" s="1"/>
  <c r="R14" i="17"/>
  <c r="A8" i="17"/>
  <c r="S14" i="17" l="1"/>
  <c r="M28" i="20"/>
  <c r="M30" i="20"/>
  <c r="M32" i="20"/>
  <c r="M34" i="20"/>
  <c r="J4" i="20"/>
  <c r="J7" i="20"/>
  <c r="J8" i="20" l="1"/>
  <c r="J9" i="20"/>
  <c r="J6" i="20"/>
  <c r="J5" i="20"/>
  <c r="J3" i="20"/>
  <c r="M33" i="20"/>
  <c r="M31" i="20"/>
  <c r="M29" i="20"/>
  <c r="M27" i="20"/>
  <c r="M50" i="20"/>
  <c r="M35" i="20" l="1"/>
  <c r="K21" i="19" l="1"/>
  <c r="D22" i="2"/>
  <c r="E22" i="2"/>
  <c r="C22" i="2"/>
  <c r="V113" i="19"/>
  <c r="V85" i="19"/>
  <c r="T25" i="19"/>
  <c r="U25" i="19"/>
  <c r="T131" i="19"/>
  <c r="U131" i="19"/>
  <c r="T112" i="19"/>
  <c r="U112" i="19"/>
  <c r="T96" i="19"/>
  <c r="U96" i="19"/>
  <c r="U63" i="19"/>
  <c r="T63" i="19"/>
  <c r="R25" i="19"/>
  <c r="S25" i="19"/>
  <c r="R63" i="19"/>
  <c r="S63" i="19"/>
  <c r="R96" i="19"/>
  <c r="S96" i="19"/>
  <c r="R112" i="19"/>
  <c r="S112" i="19"/>
  <c r="S131" i="19"/>
  <c r="S132" i="19" s="1"/>
  <c r="R131" i="19"/>
  <c r="Q63" i="19"/>
  <c r="Q96" i="19"/>
  <c r="Q112" i="19"/>
  <c r="Q131" i="19"/>
  <c r="Q132" i="19" s="1"/>
  <c r="Q25" i="19"/>
  <c r="O25" i="19"/>
  <c r="P25" i="19"/>
  <c r="O63" i="19"/>
  <c r="P63" i="19"/>
  <c r="O96" i="19"/>
  <c r="P96" i="19"/>
  <c r="O112" i="19"/>
  <c r="P112" i="19"/>
  <c r="P131" i="19"/>
  <c r="P132" i="19" s="1"/>
  <c r="O131" i="19"/>
  <c r="O132" i="19" s="1"/>
  <c r="D131" i="19"/>
  <c r="G131" i="19"/>
  <c r="H131" i="19"/>
  <c r="I131" i="19"/>
  <c r="J131" i="19"/>
  <c r="L131" i="19"/>
  <c r="M131" i="19"/>
  <c r="N131" i="19"/>
  <c r="L96" i="19"/>
  <c r="M96" i="19"/>
  <c r="N96" i="19"/>
  <c r="N63" i="19"/>
  <c r="N112" i="19"/>
  <c r="M112" i="19"/>
  <c r="M63" i="19"/>
  <c r="M25" i="19"/>
  <c r="N25" i="19"/>
  <c r="L112" i="19"/>
  <c r="L63" i="19"/>
  <c r="L25" i="19"/>
  <c r="E25" i="19"/>
  <c r="F25" i="19"/>
  <c r="G25" i="19"/>
  <c r="H25" i="19"/>
  <c r="I25" i="19"/>
  <c r="J25" i="19"/>
  <c r="E63" i="19"/>
  <c r="F63" i="19"/>
  <c r="G63" i="19"/>
  <c r="H63" i="19"/>
  <c r="I63" i="19"/>
  <c r="J63" i="19"/>
  <c r="E96" i="19"/>
  <c r="F96" i="19"/>
  <c r="G96" i="19"/>
  <c r="H96" i="19"/>
  <c r="I96" i="19"/>
  <c r="J96" i="19"/>
  <c r="F112" i="19"/>
  <c r="G112" i="19"/>
  <c r="H112" i="19"/>
  <c r="I112" i="19"/>
  <c r="J112" i="19"/>
  <c r="K116" i="19"/>
  <c r="V116" i="19" s="1"/>
  <c r="K118" i="19"/>
  <c r="V118" i="19" s="1"/>
  <c r="K120" i="19"/>
  <c r="V120" i="19" s="1"/>
  <c r="K121" i="19"/>
  <c r="V121" i="19" s="1"/>
  <c r="K122" i="19"/>
  <c r="V122" i="19" s="1"/>
  <c r="K123" i="19"/>
  <c r="V123" i="19" s="1"/>
  <c r="K124" i="19"/>
  <c r="V124" i="19" s="1"/>
  <c r="K125" i="19"/>
  <c r="V125" i="19" s="1"/>
  <c r="K126" i="19"/>
  <c r="V126" i="19" s="1"/>
  <c r="K127" i="19"/>
  <c r="V127" i="19" s="1"/>
  <c r="K128" i="19"/>
  <c r="V128" i="19" s="1"/>
  <c r="K129" i="19"/>
  <c r="V129" i="19" s="1"/>
  <c r="K130" i="19"/>
  <c r="V130" i="19" s="1"/>
  <c r="K114" i="19"/>
  <c r="V114" i="19" s="1"/>
  <c r="K98" i="19"/>
  <c r="V98" i="19" s="1"/>
  <c r="K99" i="19"/>
  <c r="V99" i="19" s="1"/>
  <c r="K100" i="19"/>
  <c r="V100" i="19" s="1"/>
  <c r="K101" i="19"/>
  <c r="V101" i="19" s="1"/>
  <c r="K102" i="19"/>
  <c r="V102" i="19" s="1"/>
  <c r="K103" i="19"/>
  <c r="V103" i="19" s="1"/>
  <c r="K104" i="19"/>
  <c r="V104" i="19" s="1"/>
  <c r="K105" i="19"/>
  <c r="V105" i="19" s="1"/>
  <c r="K106" i="19"/>
  <c r="V106" i="19" s="1"/>
  <c r="K107" i="19"/>
  <c r="V107" i="19" s="1"/>
  <c r="K109" i="19"/>
  <c r="V109" i="19" s="1"/>
  <c r="K110" i="19"/>
  <c r="V110" i="19" s="1"/>
  <c r="K111" i="19"/>
  <c r="V111" i="19" s="1"/>
  <c r="K97" i="19"/>
  <c r="V97" i="19" s="1"/>
  <c r="K66" i="19"/>
  <c r="V66" i="19" s="1"/>
  <c r="K67" i="19"/>
  <c r="V67" i="19" s="1"/>
  <c r="K68" i="19"/>
  <c r="V68" i="19" s="1"/>
  <c r="K69" i="19"/>
  <c r="V69" i="19" s="1"/>
  <c r="K70" i="19"/>
  <c r="V70" i="19" s="1"/>
  <c r="K71" i="19"/>
  <c r="V71" i="19" s="1"/>
  <c r="K72" i="19"/>
  <c r="V72" i="19" s="1"/>
  <c r="K73" i="19"/>
  <c r="V73" i="19" s="1"/>
  <c r="K74" i="19"/>
  <c r="V74" i="19" s="1"/>
  <c r="K75" i="19"/>
  <c r="V75" i="19" s="1"/>
  <c r="K76" i="19"/>
  <c r="V76" i="19" s="1"/>
  <c r="K77" i="19"/>
  <c r="V77" i="19" s="1"/>
  <c r="K78" i="19"/>
  <c r="V78" i="19" s="1"/>
  <c r="K79" i="19"/>
  <c r="V79" i="19" s="1"/>
  <c r="K80" i="19"/>
  <c r="V80" i="19" s="1"/>
  <c r="K81" i="19"/>
  <c r="V81" i="19" s="1"/>
  <c r="K82" i="19"/>
  <c r="V82" i="19" s="1"/>
  <c r="K83" i="19"/>
  <c r="V83" i="19" s="1"/>
  <c r="K84" i="19"/>
  <c r="V84" i="19" s="1"/>
  <c r="K86" i="19"/>
  <c r="V86" i="19" s="1"/>
  <c r="K87" i="19"/>
  <c r="V87" i="19" s="1"/>
  <c r="K88" i="19"/>
  <c r="V88" i="19" s="1"/>
  <c r="K89" i="19"/>
  <c r="V89" i="19" s="1"/>
  <c r="K90" i="19"/>
  <c r="V90" i="19" s="1"/>
  <c r="K91" i="19"/>
  <c r="V91" i="19" s="1"/>
  <c r="K92" i="19"/>
  <c r="V92" i="19" s="1"/>
  <c r="K93" i="19"/>
  <c r="V93" i="19" s="1"/>
  <c r="K94" i="19"/>
  <c r="V94" i="19" s="1"/>
  <c r="K95" i="19"/>
  <c r="V95" i="19" s="1"/>
  <c r="K65" i="19"/>
  <c r="V65" i="19" s="1"/>
  <c r="K34" i="19"/>
  <c r="V34" i="19" s="1"/>
  <c r="K35" i="19"/>
  <c r="V35" i="19" s="1"/>
  <c r="K36" i="19"/>
  <c r="V36" i="19" s="1"/>
  <c r="K37" i="19"/>
  <c r="V37" i="19" s="1"/>
  <c r="K38" i="19"/>
  <c r="V38" i="19" s="1"/>
  <c r="K39" i="19"/>
  <c r="V39" i="19" s="1"/>
  <c r="K40" i="19"/>
  <c r="V40" i="19" s="1"/>
  <c r="K41" i="19"/>
  <c r="V41" i="19" s="1"/>
  <c r="K42" i="19"/>
  <c r="V42" i="19" s="1"/>
  <c r="K43" i="19"/>
  <c r="V43" i="19" s="1"/>
  <c r="K44" i="19"/>
  <c r="V44" i="19" s="1"/>
  <c r="K45" i="19"/>
  <c r="V45" i="19" s="1"/>
  <c r="K46" i="19"/>
  <c r="V46" i="19" s="1"/>
  <c r="K47" i="19"/>
  <c r="V47" i="19" s="1"/>
  <c r="K48" i="19"/>
  <c r="V48" i="19" s="1"/>
  <c r="K49" i="19"/>
  <c r="V49" i="19" s="1"/>
  <c r="K50" i="19"/>
  <c r="V50" i="19" s="1"/>
  <c r="K51" i="19"/>
  <c r="V51" i="19" s="1"/>
  <c r="K52" i="19"/>
  <c r="V52" i="19" s="1"/>
  <c r="K53" i="19"/>
  <c r="V53" i="19" s="1"/>
  <c r="K54" i="19"/>
  <c r="V54" i="19" s="1"/>
  <c r="K55" i="19"/>
  <c r="V55" i="19" s="1"/>
  <c r="K56" i="19"/>
  <c r="V56" i="19" s="1"/>
  <c r="K57" i="19"/>
  <c r="V57" i="19" s="1"/>
  <c r="K58" i="19"/>
  <c r="V58" i="19" s="1"/>
  <c r="K59" i="19"/>
  <c r="V59" i="19" s="1"/>
  <c r="K60" i="19"/>
  <c r="V60" i="19" s="1"/>
  <c r="K61" i="19"/>
  <c r="V61" i="19" s="1"/>
  <c r="K62" i="19"/>
  <c r="V62" i="19" s="1"/>
  <c r="K3" i="19"/>
  <c r="K4" i="19"/>
  <c r="K5" i="19"/>
  <c r="K6" i="19"/>
  <c r="K7" i="19"/>
  <c r="K8" i="19"/>
  <c r="K9" i="19"/>
  <c r="K10" i="19"/>
  <c r="K11" i="19"/>
  <c r="K12" i="19"/>
  <c r="K13" i="19"/>
  <c r="K14" i="19"/>
  <c r="K15" i="19"/>
  <c r="K16" i="19"/>
  <c r="K17" i="19"/>
  <c r="K18" i="19"/>
  <c r="K19" i="19"/>
  <c r="K20" i="19"/>
  <c r="K22" i="19"/>
  <c r="K23" i="19"/>
  <c r="K26" i="19"/>
  <c r="V26" i="19" s="1"/>
  <c r="K27" i="19"/>
  <c r="V27" i="19" s="1"/>
  <c r="K28" i="19"/>
  <c r="V28" i="19" s="1"/>
  <c r="K29" i="19"/>
  <c r="V29" i="19" s="1"/>
  <c r="K30" i="19"/>
  <c r="V30" i="19" s="1"/>
  <c r="K31" i="19"/>
  <c r="V31" i="19" s="1"/>
  <c r="K32" i="19"/>
  <c r="V32" i="19" s="1"/>
  <c r="K33" i="19"/>
  <c r="V33" i="19" s="1"/>
  <c r="K24" i="19"/>
  <c r="V63" i="19" l="1"/>
  <c r="V23" i="19"/>
  <c r="V20" i="19"/>
  <c r="V18" i="19"/>
  <c r="V16" i="19"/>
  <c r="V14" i="19"/>
  <c r="V12" i="19"/>
  <c r="V10" i="19"/>
  <c r="V8" i="19"/>
  <c r="V6" i="19"/>
  <c r="V4" i="19"/>
  <c r="B31" i="20"/>
  <c r="T132" i="19"/>
  <c r="V22" i="19"/>
  <c r="V19" i="19"/>
  <c r="V17" i="19"/>
  <c r="V15" i="19"/>
  <c r="V13" i="19"/>
  <c r="V11" i="19"/>
  <c r="V9" i="19"/>
  <c r="V7" i="19"/>
  <c r="V5" i="19"/>
  <c r="V3" i="19"/>
  <c r="R132" i="19"/>
  <c r="U132" i="19"/>
  <c r="V24" i="19"/>
  <c r="V21" i="19"/>
  <c r="I8" i="20"/>
  <c r="M8" i="20" s="1"/>
  <c r="M17" i="20"/>
  <c r="M15" i="20"/>
  <c r="M16" i="20"/>
  <c r="J132" i="19"/>
  <c r="M132" i="19"/>
  <c r="L132" i="19"/>
  <c r="I132" i="19"/>
  <c r="N132" i="19"/>
  <c r="N134" i="19" s="1"/>
  <c r="K63" i="19"/>
  <c r="K25" i="19"/>
  <c r="V25" i="19" s="1"/>
  <c r="K96" i="19"/>
  <c r="K64" i="19" l="1"/>
  <c r="V64" i="19" s="1"/>
  <c r="V96" i="19" s="1"/>
  <c r="F119" i="19"/>
  <c r="E115" i="19"/>
  <c r="E117" i="19"/>
  <c r="K117" i="19" s="1"/>
  <c r="V117" i="19" s="1"/>
  <c r="E108" i="19"/>
  <c r="F131" i="19" l="1"/>
  <c r="K119" i="19"/>
  <c r="V119" i="19" s="1"/>
  <c r="E112" i="19"/>
  <c r="K108" i="19"/>
  <c r="K115" i="19"/>
  <c r="E131" i="19"/>
  <c r="C22" i="20"/>
  <c r="C21" i="20"/>
  <c r="C20" i="20"/>
  <c r="C18" i="20"/>
  <c r="D13" i="7"/>
  <c r="U13" i="7" s="1"/>
  <c r="D14" i="7"/>
  <c r="U14" i="7" s="1"/>
  <c r="D15" i="7"/>
  <c r="U15" i="7" s="1"/>
  <c r="D18" i="7"/>
  <c r="U18" i="7" s="1"/>
  <c r="D19" i="7"/>
  <c r="U19" i="7" s="1"/>
  <c r="D21" i="7"/>
  <c r="U21" i="7" s="1"/>
  <c r="D25" i="7"/>
  <c r="U25" i="7" s="1"/>
  <c r="K112" i="19" l="1"/>
  <c r="V108" i="19"/>
  <c r="V112" i="19" s="1"/>
  <c r="K131" i="19"/>
  <c r="V115" i="19"/>
  <c r="V131" i="19" s="1"/>
  <c r="V132" i="19" s="1"/>
  <c r="D8" i="16"/>
  <c r="W14" i="7"/>
  <c r="Z14" i="7"/>
  <c r="X14" i="7"/>
  <c r="Y14" i="7"/>
  <c r="D22" i="7"/>
  <c r="U22" i="7" s="1"/>
  <c r="D17" i="7"/>
  <c r="U17" i="7" s="1"/>
  <c r="D12" i="7"/>
  <c r="U12" i="7" s="1"/>
  <c r="D11" i="7"/>
  <c r="U11" i="7" s="1"/>
  <c r="M45" i="20"/>
  <c r="M44" i="20"/>
  <c r="M43" i="20"/>
  <c r="M42" i="20"/>
  <c r="M41" i="20"/>
  <c r="M40" i="20"/>
  <c r="C14" i="20"/>
  <c r="C16" i="20"/>
  <c r="C17" i="20"/>
  <c r="C19" i="20"/>
  <c r="C15" i="20"/>
  <c r="M46" i="20" l="1"/>
  <c r="M64" i="20" s="1"/>
  <c r="C56" i="20"/>
  <c r="C55" i="20"/>
  <c r="C54" i="20"/>
  <c r="C53" i="20"/>
  <c r="C52" i="20"/>
  <c r="C51" i="20"/>
  <c r="C42" i="20" l="1"/>
  <c r="C41" i="20"/>
  <c r="C40" i="20"/>
  <c r="C45" i="20"/>
  <c r="C44" i="20"/>
  <c r="C43" i="20"/>
  <c r="C34" i="20"/>
  <c r="C33" i="20"/>
  <c r="C31" i="20"/>
  <c r="F31" i="20" s="1"/>
  <c r="C30" i="20"/>
  <c r="C29" i="20"/>
  <c r="C28" i="20"/>
  <c r="C27" i="20"/>
  <c r="D13" i="17"/>
  <c r="D8" i="17" l="1"/>
  <c r="D12" i="17"/>
  <c r="D21" i="17"/>
  <c r="D9" i="17"/>
  <c r="D17" i="17"/>
  <c r="D14" i="17"/>
  <c r="D10" i="17"/>
  <c r="D11" i="17"/>
  <c r="C4" i="20" l="1"/>
  <c r="C8" i="20"/>
  <c r="C5" i="2"/>
  <c r="D5" i="2"/>
  <c r="E5" i="2"/>
  <c r="C6" i="2"/>
  <c r="D6" i="2"/>
  <c r="E6" i="2"/>
  <c r="D4" i="2"/>
  <c r="C4" i="2"/>
  <c r="D23" i="2"/>
  <c r="E23" i="2"/>
  <c r="D24" i="2"/>
  <c r="E24" i="2"/>
  <c r="D25" i="2"/>
  <c r="E25" i="2"/>
  <c r="C24" i="2"/>
  <c r="C25" i="2"/>
  <c r="C23" i="2"/>
  <c r="D21" i="2"/>
  <c r="E21" i="2"/>
  <c r="C21" i="2"/>
  <c r="C19" i="2"/>
  <c r="D19" i="2"/>
  <c r="E19" i="2"/>
  <c r="C20" i="2"/>
  <c r="D20" i="2"/>
  <c r="E20" i="2"/>
  <c r="D18" i="2"/>
  <c r="E18" i="2"/>
  <c r="E14" i="2"/>
  <c r="E15" i="2"/>
  <c r="E16" i="2"/>
  <c r="E17" i="2"/>
  <c r="E13" i="2"/>
  <c r="E12" i="2"/>
  <c r="C18" i="2"/>
  <c r="C3" i="20" l="1"/>
  <c r="C6" i="20"/>
  <c r="C9" i="20"/>
  <c r="C7" i="20"/>
  <c r="C5" i="20"/>
  <c r="E4" i="2"/>
  <c r="I46" i="20"/>
  <c r="I64" i="20" s="1"/>
  <c r="C14" i="2"/>
  <c r="D14" i="2"/>
  <c r="C15" i="2"/>
  <c r="D15" i="2"/>
  <c r="C16" i="2"/>
  <c r="D16" i="2"/>
  <c r="C17" i="2"/>
  <c r="D17" i="2"/>
  <c r="D13" i="2"/>
  <c r="C13" i="2"/>
  <c r="E7" i="2"/>
  <c r="E8" i="2"/>
  <c r="E9" i="2"/>
  <c r="E10" i="2"/>
  <c r="E11" i="2"/>
  <c r="C7" i="2"/>
  <c r="C8" i="2"/>
  <c r="C9" i="2"/>
  <c r="C10" i="2"/>
  <c r="C11" i="2"/>
  <c r="C12" i="2"/>
  <c r="D7" i="2"/>
  <c r="D8" i="2"/>
  <c r="D9" i="2"/>
  <c r="D10" i="2"/>
  <c r="D11" i="2"/>
  <c r="D12" i="2"/>
  <c r="D25" i="19"/>
  <c r="C57" i="20" l="1"/>
  <c r="C65" i="20" s="1"/>
  <c r="C46" i="20"/>
  <c r="C64" i="20" s="1"/>
  <c r="D112" i="19"/>
  <c r="D96" i="19"/>
  <c r="D63" i="19"/>
  <c r="B7" i="20"/>
  <c r="F7" i="20" s="1"/>
  <c r="B8" i="20"/>
  <c r="B9" i="20"/>
  <c r="F9" i="20" s="1"/>
  <c r="D132" i="19" l="1"/>
  <c r="G132" i="19"/>
  <c r="E132" i="19"/>
  <c r="H132" i="19"/>
  <c r="F132" i="19"/>
  <c r="B34" i="20"/>
  <c r="B32" i="20"/>
  <c r="B30" i="20"/>
  <c r="B45" i="20"/>
  <c r="B43" i="20"/>
  <c r="B55" i="20"/>
  <c r="B33" i="20"/>
  <c r="D31" i="20"/>
  <c r="B40" i="20"/>
  <c r="B56" i="20"/>
  <c r="B54" i="20"/>
  <c r="B5" i="20"/>
  <c r="F5" i="20" s="1"/>
  <c r="B4" i="20"/>
  <c r="F4" i="20" s="1"/>
  <c r="B51" i="20"/>
  <c r="B53" i="20"/>
  <c r="B52" i="20"/>
  <c r="B44" i="20"/>
  <c r="B42" i="20"/>
  <c r="B41" i="20"/>
  <c r="K132" i="19"/>
  <c r="B6" i="20"/>
  <c r="F6" i="20" s="1"/>
  <c r="B15" i="20"/>
  <c r="F15" i="20" s="1"/>
  <c r="B19" i="20"/>
  <c r="F19" i="20" s="1"/>
  <c r="B21" i="20"/>
  <c r="F21" i="20" s="1"/>
  <c r="B28" i="20"/>
  <c r="B16" i="20"/>
  <c r="F16" i="20" s="1"/>
  <c r="B18" i="20"/>
  <c r="F18" i="20" s="1"/>
  <c r="B20" i="20"/>
  <c r="F20" i="20" s="1"/>
  <c r="B22" i="20"/>
  <c r="F22" i="20" s="1"/>
  <c r="B27" i="20"/>
  <c r="B29" i="20"/>
  <c r="B3" i="20"/>
  <c r="F3" i="20" s="1"/>
  <c r="F10" i="20" l="1"/>
  <c r="D27" i="20"/>
  <c r="F27" i="20"/>
  <c r="D41" i="20"/>
  <c r="F41" i="20"/>
  <c r="D42" i="20"/>
  <c r="F42" i="20"/>
  <c r="D44" i="20"/>
  <c r="F44" i="20"/>
  <c r="D52" i="20"/>
  <c r="F52" i="20"/>
  <c r="D51" i="20"/>
  <c r="F51" i="20"/>
  <c r="D54" i="20"/>
  <c r="F54" i="20"/>
  <c r="D56" i="20"/>
  <c r="F56" i="20"/>
  <c r="D55" i="20"/>
  <c r="F55" i="20"/>
  <c r="D43" i="20"/>
  <c r="F43" i="20"/>
  <c r="D45" i="20"/>
  <c r="F45" i="20"/>
  <c r="D34" i="20"/>
  <c r="F34" i="20"/>
  <c r="D29" i="20"/>
  <c r="F29" i="20"/>
  <c r="D28" i="20"/>
  <c r="F28" i="20"/>
  <c r="D53" i="20"/>
  <c r="F53" i="20"/>
  <c r="D40" i="20"/>
  <c r="F40" i="20"/>
  <c r="D33" i="20"/>
  <c r="F33" i="20"/>
  <c r="D30" i="20"/>
  <c r="F30" i="20"/>
  <c r="B46" i="20"/>
  <c r="B64" i="20" s="1"/>
  <c r="F64" i="20" s="1"/>
  <c r="C32" i="20"/>
  <c r="B35" i="20"/>
  <c r="B63" i="20" s="1"/>
  <c r="B57" i="20"/>
  <c r="B65" i="20" s="1"/>
  <c r="F65" i="20" s="1"/>
  <c r="B10" i="20"/>
  <c r="B61" i="20" s="1"/>
  <c r="M61" i="18"/>
  <c r="D57" i="20" l="1"/>
  <c r="D65" i="20" s="1"/>
  <c r="D46" i="20"/>
  <c r="D64" i="20" s="1"/>
  <c r="C35" i="20"/>
  <c r="C63" i="20" s="1"/>
  <c r="F63" i="20" s="1"/>
  <c r="F32" i="20"/>
  <c r="F57" i="20"/>
  <c r="F35" i="20"/>
  <c r="F46" i="20"/>
  <c r="D32" i="20"/>
  <c r="D35" i="20" s="1"/>
  <c r="D63" i="20" s="1"/>
  <c r="A37" i="16" l="1"/>
  <c r="A38" i="7"/>
  <c r="A36" i="7"/>
  <c r="A35" i="7"/>
  <c r="A34" i="7"/>
  <c r="A33" i="7"/>
  <c r="A32" i="7"/>
  <c r="A65" i="8" l="1"/>
  <c r="A64" i="8"/>
  <c r="A61" i="8"/>
  <c r="A60" i="8"/>
  <c r="A59" i="8"/>
  <c r="A58" i="8"/>
  <c r="A57" i="8"/>
  <c r="J22" i="17" l="1"/>
  <c r="J23" i="17"/>
  <c r="J24" i="17"/>
  <c r="J25" i="17"/>
  <c r="J26" i="17"/>
  <c r="J27" i="17"/>
  <c r="J35" i="17"/>
  <c r="J36" i="17"/>
  <c r="J37" i="17"/>
  <c r="J38" i="17"/>
  <c r="J39" i="17"/>
  <c r="J40" i="17"/>
  <c r="J41" i="17"/>
  <c r="J42" i="17"/>
  <c r="J43" i="17"/>
  <c r="J44" i="17"/>
  <c r="J45" i="17"/>
  <c r="J46" i="17"/>
  <c r="W26" i="18"/>
  <c r="W27" i="18"/>
  <c r="W28" i="18"/>
  <c r="W29" i="18"/>
  <c r="W30" i="18"/>
  <c r="W31" i="18"/>
  <c r="W40" i="18"/>
  <c r="W41" i="18"/>
  <c r="W42" i="18"/>
  <c r="W43" i="18"/>
  <c r="W44" i="18"/>
  <c r="W45" i="18"/>
  <c r="W46" i="18"/>
  <c r="D8" i="7" l="1"/>
  <c r="Q14" i="18"/>
  <c r="Q13" i="18"/>
  <c r="Q12" i="18"/>
  <c r="Q11" i="18"/>
  <c r="Q10" i="18"/>
  <c r="Q9" i="18"/>
  <c r="Q8" i="18"/>
  <c r="Q11" i="7" l="1"/>
  <c r="Q10" i="7"/>
  <c r="Q9" i="7"/>
  <c r="Q8" i="7"/>
  <c r="Q7" i="7"/>
  <c r="Q6" i="7"/>
  <c r="A25" i="18" l="1"/>
  <c r="A37" i="18" s="1"/>
  <c r="A24" i="18"/>
  <c r="A36" i="18" s="1"/>
  <c r="A8" i="18"/>
  <c r="A32" i="18" s="1"/>
  <c r="A21" i="17"/>
  <c r="A18" i="17"/>
  <c r="A17" i="17"/>
  <c r="A31" i="17" s="1"/>
  <c r="A16" i="17"/>
  <c r="A30" i="17" s="1"/>
  <c r="A15" i="17"/>
  <c r="A28" i="17"/>
  <c r="A22" i="16"/>
  <c r="A36" i="16" s="1"/>
  <c r="A21" i="16"/>
  <c r="A18" i="16"/>
  <c r="A17" i="16"/>
  <c r="A33" i="16" s="1"/>
  <c r="A32" i="16"/>
  <c r="A10" i="16"/>
  <c r="T15" i="16" l="1"/>
  <c r="F24" i="16" s="1"/>
  <c r="C37" i="16" s="1"/>
  <c r="T12" i="16"/>
  <c r="F18" i="16" s="1"/>
  <c r="C34" i="16" s="1"/>
  <c r="J19" i="18"/>
  <c r="P13" i="18" s="1"/>
  <c r="A30" i="16"/>
  <c r="A34" i="16"/>
  <c r="A29" i="17"/>
  <c r="A33" i="17"/>
  <c r="J21" i="18"/>
  <c r="J59" i="18" s="1"/>
  <c r="A31" i="16"/>
  <c r="A35" i="16"/>
  <c r="J14" i="18"/>
  <c r="J51" i="18" s="1"/>
  <c r="A32" i="17"/>
  <c r="J10" i="18"/>
  <c r="P9" i="18" s="1"/>
  <c r="J12" i="18"/>
  <c r="J49" i="18" s="1"/>
  <c r="J17" i="18"/>
  <c r="P8" i="18"/>
  <c r="J8" i="18"/>
  <c r="J45" i="18" s="1"/>
  <c r="AG8" i="18"/>
  <c r="F8" i="18" s="1"/>
  <c r="C32" i="18" s="1"/>
  <c r="AG9" i="18"/>
  <c r="F13" i="18" s="1"/>
  <c r="C33" i="18" s="1"/>
  <c r="AG10" i="18"/>
  <c r="F20" i="18" s="1"/>
  <c r="C34" i="18" s="1"/>
  <c r="AG11" i="18"/>
  <c r="F21" i="18" s="1"/>
  <c r="C35" i="18" s="1"/>
  <c r="AG12" i="18"/>
  <c r="F24" i="18" s="1"/>
  <c r="C36" i="18" s="1"/>
  <c r="AG13" i="18"/>
  <c r="F25" i="18" s="1"/>
  <c r="C37" i="18" s="1"/>
  <c r="T9" i="17"/>
  <c r="T11" i="17"/>
  <c r="F17" i="17" s="1"/>
  <c r="C31" i="17" s="1"/>
  <c r="T12" i="17"/>
  <c r="F18" i="17" s="1"/>
  <c r="C32" i="17" s="1"/>
  <c r="T13" i="17"/>
  <c r="F21" i="17" s="1"/>
  <c r="C33" i="17" s="1"/>
  <c r="T10" i="17"/>
  <c r="F16" i="17" s="1"/>
  <c r="C30" i="17" s="1"/>
  <c r="T8" i="17"/>
  <c r="F8" i="17" s="1"/>
  <c r="T11" i="16"/>
  <c r="T8" i="16"/>
  <c r="F8" i="16" s="1"/>
  <c r="C30" i="16" s="1"/>
  <c r="T9" i="16"/>
  <c r="T10" i="16"/>
  <c r="T13" i="16"/>
  <c r="F21" i="16" s="1"/>
  <c r="C35" i="16" s="1"/>
  <c r="T14" i="16"/>
  <c r="F22" i="16" s="1"/>
  <c r="C36" i="16" s="1"/>
  <c r="C38" i="18" l="1"/>
  <c r="C28" i="17"/>
  <c r="J57" i="18"/>
  <c r="P14" i="18"/>
  <c r="J47" i="18"/>
  <c r="N19" i="18"/>
  <c r="N21" i="18"/>
  <c r="N12" i="18"/>
  <c r="P11" i="18"/>
  <c r="N17" i="18"/>
  <c r="P10" i="18"/>
  <c r="P12" i="18"/>
  <c r="J55" i="18"/>
  <c r="F15" i="17"/>
  <c r="C29" i="17" s="1"/>
  <c r="F11" i="16"/>
  <c r="C32" i="16" s="1"/>
  <c r="F17" i="16"/>
  <c r="C33" i="16" s="1"/>
  <c r="F10" i="16"/>
  <c r="C31" i="16" s="1"/>
  <c r="F22" i="17" l="1"/>
  <c r="N14" i="18"/>
  <c r="N10" i="18"/>
  <c r="N8" i="18"/>
  <c r="F27" i="16"/>
  <c r="F26" i="18"/>
  <c r="C38" i="16" l="1"/>
  <c r="C34" i="17"/>
  <c r="N24" i="18"/>
  <c r="J19" i="7"/>
  <c r="J45" i="7" s="1"/>
  <c r="P11" i="7" s="1"/>
  <c r="J17" i="7"/>
  <c r="J43" i="7" s="1"/>
  <c r="P10" i="7" s="1"/>
  <c r="J14" i="7"/>
  <c r="J40" i="7" s="1"/>
  <c r="P9" i="7" s="1"/>
  <c r="J12" i="7"/>
  <c r="J38" i="7" s="1"/>
  <c r="P8" i="7" s="1"/>
  <c r="J10" i="7"/>
  <c r="J36" i="7" s="1"/>
  <c r="P7" i="7" s="1"/>
  <c r="J8" i="7"/>
  <c r="J34" i="7" s="1"/>
  <c r="P6" i="7" s="1"/>
  <c r="U9" i="8" l="1"/>
  <c r="F13" i="8" s="1"/>
  <c r="C58" i="8" s="1"/>
  <c r="M47" i="7"/>
  <c r="U10" i="8"/>
  <c r="C65" i="8" l="1"/>
  <c r="AE13" i="7"/>
  <c r="F23" i="7" s="1"/>
  <c r="C37" i="7" s="1"/>
  <c r="F22" i="8"/>
  <c r="C59" i="8" s="1"/>
  <c r="AE9" i="7"/>
  <c r="F11" i="7" s="1"/>
  <c r="C33" i="7" s="1"/>
  <c r="AE10" i="7"/>
  <c r="F12" i="7" s="1"/>
  <c r="C34" i="7" s="1"/>
  <c r="AE11" i="7"/>
  <c r="F16" i="7" s="1"/>
  <c r="C35" i="7" s="1"/>
  <c r="AE12" i="7"/>
  <c r="F21" i="7" s="1"/>
  <c r="C36" i="7" s="1"/>
  <c r="Q104" i="15"/>
  <c r="R104" i="15"/>
  <c r="S104" i="15"/>
  <c r="T104" i="15"/>
  <c r="U104" i="15"/>
  <c r="V104" i="15"/>
  <c r="W104" i="15"/>
  <c r="X104" i="15"/>
  <c r="Y104" i="15"/>
  <c r="Z104" i="15"/>
  <c r="Q105" i="15"/>
  <c r="R105" i="15"/>
  <c r="S105" i="15"/>
  <c r="T105" i="15"/>
  <c r="U105" i="15"/>
  <c r="V105" i="15"/>
  <c r="W105" i="15"/>
  <c r="X105" i="15"/>
  <c r="Y105" i="15"/>
  <c r="Z105" i="15"/>
  <c r="Q106" i="15"/>
  <c r="R106" i="15"/>
  <c r="S106" i="15"/>
  <c r="T106" i="15"/>
  <c r="U106" i="15"/>
  <c r="V106" i="15"/>
  <c r="W106" i="15"/>
  <c r="X106" i="15"/>
  <c r="Y106" i="15"/>
  <c r="Z106" i="15"/>
  <c r="Q107" i="15"/>
  <c r="R107" i="15"/>
  <c r="S107" i="15"/>
  <c r="T107" i="15"/>
  <c r="U107" i="15"/>
  <c r="V107" i="15"/>
  <c r="W107" i="15"/>
  <c r="X107" i="15"/>
  <c r="Y107" i="15"/>
  <c r="Z107" i="15"/>
  <c r="Q108" i="15"/>
  <c r="R108" i="15"/>
  <c r="S108" i="15"/>
  <c r="T108" i="15"/>
  <c r="U108" i="15"/>
  <c r="V108" i="15"/>
  <c r="W108" i="15"/>
  <c r="X108" i="15"/>
  <c r="Y108" i="15"/>
  <c r="Z108" i="15"/>
  <c r="Q109" i="15"/>
  <c r="R109" i="15"/>
  <c r="S109" i="15"/>
  <c r="T109" i="15"/>
  <c r="U109" i="15"/>
  <c r="V109" i="15"/>
  <c r="W109" i="15"/>
  <c r="X109" i="15"/>
  <c r="Y109" i="15"/>
  <c r="Z109" i="15"/>
  <c r="Q110" i="15"/>
  <c r="R110" i="15"/>
  <c r="S110" i="15"/>
  <c r="T110" i="15"/>
  <c r="U110" i="15"/>
  <c r="V110" i="15"/>
  <c r="W110" i="15"/>
  <c r="X110" i="15"/>
  <c r="Y110" i="15"/>
  <c r="Z110" i="15"/>
  <c r="Q111" i="15"/>
  <c r="R111" i="15"/>
  <c r="S111" i="15"/>
  <c r="T111" i="15"/>
  <c r="U111" i="15"/>
  <c r="V111" i="15"/>
  <c r="W111" i="15"/>
  <c r="X111" i="15"/>
  <c r="Y111" i="15"/>
  <c r="Z111" i="15"/>
  <c r="Q112" i="15"/>
  <c r="R112" i="15"/>
  <c r="S112" i="15"/>
  <c r="T112" i="15"/>
  <c r="U112" i="15"/>
  <c r="V112" i="15"/>
  <c r="W112" i="15"/>
  <c r="X112" i="15"/>
  <c r="Y112" i="15"/>
  <c r="Z112" i="15"/>
  <c r="Q113" i="15"/>
  <c r="R113" i="15"/>
  <c r="S113" i="15"/>
  <c r="T113" i="15"/>
  <c r="U113" i="15"/>
  <c r="V113" i="15"/>
  <c r="W113" i="15"/>
  <c r="X113" i="15"/>
  <c r="Y113" i="15"/>
  <c r="Z113" i="15"/>
  <c r="Q114" i="15"/>
  <c r="R114" i="15"/>
  <c r="S114" i="15"/>
  <c r="T114" i="15"/>
  <c r="U114" i="15"/>
  <c r="V114" i="15"/>
  <c r="W114" i="15"/>
  <c r="X114" i="15"/>
  <c r="Y114" i="15"/>
  <c r="Z114" i="15"/>
  <c r="Q115" i="15"/>
  <c r="R115" i="15"/>
  <c r="S115" i="15"/>
  <c r="T115" i="15"/>
  <c r="U115" i="15"/>
  <c r="V115" i="15"/>
  <c r="W115" i="15"/>
  <c r="X115" i="15"/>
  <c r="Y115" i="15"/>
  <c r="Z115" i="15"/>
  <c r="Q116" i="15"/>
  <c r="R116" i="15"/>
  <c r="S116" i="15"/>
  <c r="T116" i="15"/>
  <c r="U116" i="15"/>
  <c r="V116" i="15"/>
  <c r="W116" i="15"/>
  <c r="X116" i="15"/>
  <c r="Y116" i="15"/>
  <c r="Z116" i="15"/>
  <c r="Q117" i="15"/>
  <c r="R117" i="15"/>
  <c r="S117" i="15"/>
  <c r="T117" i="15"/>
  <c r="U117" i="15"/>
  <c r="V117" i="15"/>
  <c r="W117" i="15"/>
  <c r="X117" i="15"/>
  <c r="Y117" i="15"/>
  <c r="Z117" i="15"/>
  <c r="Q118" i="15"/>
  <c r="R118" i="15"/>
  <c r="S118" i="15"/>
  <c r="T118" i="15"/>
  <c r="U118" i="15"/>
  <c r="V118" i="15"/>
  <c r="W118" i="15"/>
  <c r="X118" i="15"/>
  <c r="Y118" i="15"/>
  <c r="Z118" i="15"/>
  <c r="Q119" i="15"/>
  <c r="R119" i="15"/>
  <c r="S119" i="15"/>
  <c r="T119" i="15"/>
  <c r="U119" i="15"/>
  <c r="V119" i="15"/>
  <c r="W119" i="15"/>
  <c r="X119" i="15"/>
  <c r="Y119" i="15"/>
  <c r="Z119" i="15"/>
  <c r="Q120" i="15"/>
  <c r="R120" i="15"/>
  <c r="S120" i="15"/>
  <c r="T120" i="15"/>
  <c r="U120" i="15"/>
  <c r="V120" i="15"/>
  <c r="W120" i="15"/>
  <c r="X120" i="15"/>
  <c r="Y120" i="15"/>
  <c r="Z120" i="15"/>
  <c r="Q121" i="15"/>
  <c r="R121" i="15"/>
  <c r="S121" i="15"/>
  <c r="T121" i="15"/>
  <c r="U121" i="15"/>
  <c r="V121" i="15"/>
  <c r="W121" i="15"/>
  <c r="X121" i="15"/>
  <c r="Y121" i="15"/>
  <c r="Z121" i="15"/>
  <c r="Q122" i="15"/>
  <c r="R122" i="15"/>
  <c r="S122" i="15"/>
  <c r="T122" i="15"/>
  <c r="U122" i="15"/>
  <c r="V122" i="15"/>
  <c r="W122" i="15"/>
  <c r="X122" i="15"/>
  <c r="Y122" i="15"/>
  <c r="Z122" i="15"/>
  <c r="Q123" i="15"/>
  <c r="R123" i="15"/>
  <c r="S123" i="15"/>
  <c r="T123" i="15"/>
  <c r="U123" i="15"/>
  <c r="V123" i="15"/>
  <c r="W123" i="15"/>
  <c r="X123" i="15"/>
  <c r="Y123" i="15"/>
  <c r="Z123" i="15"/>
  <c r="Q124" i="15"/>
  <c r="R124" i="15"/>
  <c r="S124" i="15"/>
  <c r="T124" i="15"/>
  <c r="U124" i="15"/>
  <c r="V124" i="15"/>
  <c r="W124" i="15"/>
  <c r="X124" i="15"/>
  <c r="Y124" i="15"/>
  <c r="Z124" i="15"/>
  <c r="Q125" i="15"/>
  <c r="R125" i="15"/>
  <c r="S125" i="15"/>
  <c r="T125" i="15"/>
  <c r="U125" i="15"/>
  <c r="V125" i="15"/>
  <c r="W125" i="15"/>
  <c r="X125" i="15"/>
  <c r="Y125" i="15"/>
  <c r="Z125" i="15"/>
  <c r="Q126" i="15"/>
  <c r="R126" i="15"/>
  <c r="S126" i="15"/>
  <c r="T126" i="15"/>
  <c r="U126" i="15"/>
  <c r="V126" i="15"/>
  <c r="W126" i="15"/>
  <c r="X126" i="15"/>
  <c r="Y126" i="15"/>
  <c r="Z126" i="15"/>
  <c r="Q127" i="15"/>
  <c r="R127" i="15"/>
  <c r="S127" i="15"/>
  <c r="T127" i="15"/>
  <c r="U127" i="15"/>
  <c r="V127" i="15"/>
  <c r="W127" i="15"/>
  <c r="X127" i="15"/>
  <c r="Y127" i="15"/>
  <c r="Z127" i="15"/>
  <c r="Q128" i="15"/>
  <c r="R128" i="15"/>
  <c r="S128" i="15"/>
  <c r="T128" i="15"/>
  <c r="U128" i="15"/>
  <c r="V128" i="15"/>
  <c r="W128" i="15"/>
  <c r="X128" i="15"/>
  <c r="Y128" i="15"/>
  <c r="Z128" i="15"/>
  <c r="Q129" i="15"/>
  <c r="R129" i="15"/>
  <c r="S129" i="15"/>
  <c r="T129" i="15"/>
  <c r="U129" i="15"/>
  <c r="V129" i="15"/>
  <c r="W129" i="15"/>
  <c r="X129" i="15"/>
  <c r="Y129" i="15"/>
  <c r="Z129" i="15"/>
  <c r="Q130" i="15"/>
  <c r="R130" i="15"/>
  <c r="S130" i="15"/>
  <c r="T130" i="15"/>
  <c r="U130" i="15"/>
  <c r="V130" i="15"/>
  <c r="W130" i="15"/>
  <c r="X130" i="15"/>
  <c r="Y130" i="15"/>
  <c r="Z130" i="15"/>
  <c r="Q131" i="15"/>
  <c r="R131" i="15"/>
  <c r="S131" i="15"/>
  <c r="T131" i="15"/>
  <c r="U131" i="15"/>
  <c r="V131" i="15"/>
  <c r="W131" i="15"/>
  <c r="X131" i="15"/>
  <c r="Y131" i="15"/>
  <c r="Z131" i="15"/>
  <c r="Q132" i="15"/>
  <c r="R132" i="15"/>
  <c r="S132" i="15"/>
  <c r="T132" i="15"/>
  <c r="U132" i="15"/>
  <c r="V132" i="15"/>
  <c r="W132" i="15"/>
  <c r="X132" i="15"/>
  <c r="Y132" i="15"/>
  <c r="Z132" i="15"/>
  <c r="Z103" i="15"/>
  <c r="Y103" i="15"/>
  <c r="X103" i="15"/>
  <c r="W103" i="15"/>
  <c r="V103" i="15"/>
  <c r="U103" i="15"/>
  <c r="T103" i="15"/>
  <c r="S103" i="15"/>
  <c r="R103" i="15"/>
  <c r="Q103" i="15"/>
  <c r="R74" i="15"/>
  <c r="Q75" i="15"/>
  <c r="R75" i="15"/>
  <c r="S75" i="15"/>
  <c r="T75" i="15"/>
  <c r="U75" i="15"/>
  <c r="V75" i="15"/>
  <c r="W75" i="15"/>
  <c r="X75" i="15"/>
  <c r="Y75" i="15"/>
  <c r="Z75" i="15"/>
  <c r="Q76" i="15"/>
  <c r="R76" i="15"/>
  <c r="S76" i="15"/>
  <c r="T76" i="15"/>
  <c r="U76" i="15"/>
  <c r="V76" i="15"/>
  <c r="W76" i="15"/>
  <c r="X76" i="15"/>
  <c r="Y76" i="15"/>
  <c r="Z76" i="15"/>
  <c r="Q77" i="15"/>
  <c r="R77" i="15"/>
  <c r="S77" i="15"/>
  <c r="T77" i="15"/>
  <c r="U77" i="15"/>
  <c r="V77" i="15"/>
  <c r="W77" i="15"/>
  <c r="X77" i="15"/>
  <c r="Y77" i="15"/>
  <c r="Z77" i="15"/>
  <c r="Q78" i="15"/>
  <c r="R78" i="15"/>
  <c r="S78" i="15"/>
  <c r="T78" i="15"/>
  <c r="U78" i="15"/>
  <c r="V78" i="15"/>
  <c r="W78" i="15"/>
  <c r="X78" i="15"/>
  <c r="Y78" i="15"/>
  <c r="Z78" i="15"/>
  <c r="Q79" i="15"/>
  <c r="R79" i="15"/>
  <c r="S79" i="15"/>
  <c r="T79" i="15"/>
  <c r="U79" i="15"/>
  <c r="V79" i="15"/>
  <c r="W79" i="15"/>
  <c r="X79" i="15"/>
  <c r="Y79" i="15"/>
  <c r="Z79" i="15"/>
  <c r="Q80" i="15"/>
  <c r="R80" i="15"/>
  <c r="S80" i="15"/>
  <c r="T80" i="15"/>
  <c r="U80" i="15"/>
  <c r="V80" i="15"/>
  <c r="W80" i="15"/>
  <c r="X80" i="15"/>
  <c r="Y80" i="15"/>
  <c r="Z80" i="15"/>
  <c r="Q81" i="15"/>
  <c r="R81" i="15"/>
  <c r="S81" i="15"/>
  <c r="T81" i="15"/>
  <c r="U81" i="15"/>
  <c r="V81" i="15"/>
  <c r="W81" i="15"/>
  <c r="X81" i="15"/>
  <c r="Y81" i="15"/>
  <c r="Z81" i="15"/>
  <c r="Q82" i="15"/>
  <c r="R82" i="15"/>
  <c r="S82" i="15"/>
  <c r="T82" i="15"/>
  <c r="U82" i="15"/>
  <c r="V82" i="15"/>
  <c r="W82" i="15"/>
  <c r="X82" i="15"/>
  <c r="Y82" i="15"/>
  <c r="Z82" i="15"/>
  <c r="Q83" i="15"/>
  <c r="R83" i="15"/>
  <c r="S83" i="15"/>
  <c r="T83" i="15"/>
  <c r="U83" i="15"/>
  <c r="V83" i="15"/>
  <c r="W83" i="15"/>
  <c r="X83" i="15"/>
  <c r="Y83" i="15"/>
  <c r="Z83" i="15"/>
  <c r="Q84" i="15"/>
  <c r="R84" i="15"/>
  <c r="S84" i="15"/>
  <c r="T84" i="15"/>
  <c r="U84" i="15"/>
  <c r="V84" i="15"/>
  <c r="W84" i="15"/>
  <c r="X84" i="15"/>
  <c r="Y84" i="15"/>
  <c r="Z84" i="15"/>
  <c r="Q85" i="15"/>
  <c r="R85" i="15"/>
  <c r="S85" i="15"/>
  <c r="T85" i="15"/>
  <c r="U85" i="15"/>
  <c r="V85" i="15"/>
  <c r="W85" i="15"/>
  <c r="X85" i="15"/>
  <c r="Y85" i="15"/>
  <c r="Z85" i="15"/>
  <c r="Q86" i="15"/>
  <c r="R86" i="15"/>
  <c r="S86" i="15"/>
  <c r="T86" i="15"/>
  <c r="U86" i="15"/>
  <c r="V86" i="15"/>
  <c r="W86" i="15"/>
  <c r="X86" i="15"/>
  <c r="Y86" i="15"/>
  <c r="Z86" i="15"/>
  <c r="Q87" i="15"/>
  <c r="R87" i="15"/>
  <c r="S87" i="15"/>
  <c r="T87" i="15"/>
  <c r="U87" i="15"/>
  <c r="V87" i="15"/>
  <c r="W87" i="15"/>
  <c r="X87" i="15"/>
  <c r="Y87" i="15"/>
  <c r="Z87" i="15"/>
  <c r="Q88" i="15"/>
  <c r="R88" i="15"/>
  <c r="S88" i="15"/>
  <c r="T88" i="15"/>
  <c r="U88" i="15"/>
  <c r="V88" i="15"/>
  <c r="W88" i="15"/>
  <c r="X88" i="15"/>
  <c r="Y88" i="15"/>
  <c r="Z88" i="15"/>
  <c r="Q89" i="15"/>
  <c r="R89" i="15"/>
  <c r="S89" i="15"/>
  <c r="T89" i="15"/>
  <c r="U89" i="15"/>
  <c r="V89" i="15"/>
  <c r="W89" i="15"/>
  <c r="X89" i="15"/>
  <c r="Y89" i="15"/>
  <c r="Z89" i="15"/>
  <c r="Q90" i="15"/>
  <c r="R90" i="15"/>
  <c r="S90" i="15"/>
  <c r="T90" i="15"/>
  <c r="U90" i="15"/>
  <c r="V90" i="15"/>
  <c r="W90" i="15"/>
  <c r="X90" i="15"/>
  <c r="Y90" i="15"/>
  <c r="Z90" i="15"/>
  <c r="Q91" i="15"/>
  <c r="R91" i="15"/>
  <c r="S91" i="15"/>
  <c r="T91" i="15"/>
  <c r="U91" i="15"/>
  <c r="V91" i="15"/>
  <c r="W91" i="15"/>
  <c r="X91" i="15"/>
  <c r="Y91" i="15"/>
  <c r="Z91" i="15"/>
  <c r="Q92" i="15"/>
  <c r="R92" i="15"/>
  <c r="S92" i="15"/>
  <c r="T92" i="15"/>
  <c r="U92" i="15"/>
  <c r="V92" i="15"/>
  <c r="W92" i="15"/>
  <c r="X92" i="15"/>
  <c r="Y92" i="15"/>
  <c r="Z92" i="15"/>
  <c r="Q93" i="15"/>
  <c r="R93" i="15"/>
  <c r="S93" i="15"/>
  <c r="T93" i="15"/>
  <c r="U93" i="15"/>
  <c r="V93" i="15"/>
  <c r="W93" i="15"/>
  <c r="X93" i="15"/>
  <c r="Y93" i="15"/>
  <c r="Z93" i="15"/>
  <c r="Q94" i="15"/>
  <c r="R94" i="15"/>
  <c r="S94" i="15"/>
  <c r="T94" i="15"/>
  <c r="U94" i="15"/>
  <c r="V94" i="15"/>
  <c r="W94" i="15"/>
  <c r="X94" i="15"/>
  <c r="Y94" i="15"/>
  <c r="Z94" i="15"/>
  <c r="Q95" i="15"/>
  <c r="R95" i="15"/>
  <c r="S95" i="15"/>
  <c r="T95" i="15"/>
  <c r="U95" i="15"/>
  <c r="V95" i="15"/>
  <c r="W95" i="15"/>
  <c r="X95" i="15"/>
  <c r="Y95" i="15"/>
  <c r="Z95" i="15"/>
  <c r="Q96" i="15"/>
  <c r="R96" i="15"/>
  <c r="S96" i="15"/>
  <c r="T96" i="15"/>
  <c r="U96" i="15"/>
  <c r="V96" i="15"/>
  <c r="W96" i="15"/>
  <c r="X96" i="15"/>
  <c r="Y96" i="15"/>
  <c r="Z96" i="15"/>
  <c r="Q97" i="15"/>
  <c r="R97" i="15"/>
  <c r="S97" i="15"/>
  <c r="T97" i="15"/>
  <c r="U97" i="15"/>
  <c r="V97" i="15"/>
  <c r="W97" i="15"/>
  <c r="X97" i="15"/>
  <c r="Y97" i="15"/>
  <c r="Z97" i="15"/>
  <c r="Z74" i="15"/>
  <c r="Y74" i="15"/>
  <c r="X74" i="15"/>
  <c r="W74" i="15"/>
  <c r="V74" i="15"/>
  <c r="U74" i="15"/>
  <c r="T74" i="15"/>
  <c r="S74" i="15"/>
  <c r="Q74" i="15"/>
  <c r="Q48" i="15"/>
  <c r="R48" i="15"/>
  <c r="S48" i="15"/>
  <c r="T48" i="15"/>
  <c r="U48" i="15"/>
  <c r="V48" i="15"/>
  <c r="W48" i="15"/>
  <c r="X48" i="15"/>
  <c r="Y48" i="15"/>
  <c r="Z48" i="15"/>
  <c r="Q49" i="15"/>
  <c r="R49" i="15"/>
  <c r="S49" i="15"/>
  <c r="T49" i="15"/>
  <c r="U49" i="15"/>
  <c r="V49" i="15"/>
  <c r="W49" i="15"/>
  <c r="X49" i="15"/>
  <c r="Y49" i="15"/>
  <c r="Z49" i="15"/>
  <c r="Q50" i="15"/>
  <c r="R50" i="15"/>
  <c r="S50" i="15"/>
  <c r="T50" i="15"/>
  <c r="U50" i="15"/>
  <c r="V50" i="15"/>
  <c r="W50" i="15"/>
  <c r="X50" i="15"/>
  <c r="Y50" i="15"/>
  <c r="Z50" i="15"/>
  <c r="Q51" i="15"/>
  <c r="R51" i="15"/>
  <c r="S51" i="15"/>
  <c r="T51" i="15"/>
  <c r="U51" i="15"/>
  <c r="V51" i="15"/>
  <c r="W51" i="15"/>
  <c r="X51" i="15"/>
  <c r="Y51" i="15"/>
  <c r="Z51" i="15"/>
  <c r="Q52" i="15"/>
  <c r="R52" i="15"/>
  <c r="S52" i="15"/>
  <c r="T52" i="15"/>
  <c r="U52" i="15"/>
  <c r="V52" i="15"/>
  <c r="W52" i="15"/>
  <c r="X52" i="15"/>
  <c r="Y52" i="15"/>
  <c r="Z52" i="15"/>
  <c r="Q53" i="15"/>
  <c r="R53" i="15"/>
  <c r="S53" i="15"/>
  <c r="T53" i="15"/>
  <c r="U53" i="15"/>
  <c r="V53" i="15"/>
  <c r="W53" i="15"/>
  <c r="X53" i="15"/>
  <c r="Y53" i="15"/>
  <c r="Z53" i="15"/>
  <c r="Q54" i="15"/>
  <c r="R54" i="15"/>
  <c r="S54" i="15"/>
  <c r="T54" i="15"/>
  <c r="U54" i="15"/>
  <c r="V54" i="15"/>
  <c r="W54" i="15"/>
  <c r="X54" i="15"/>
  <c r="Y54" i="15"/>
  <c r="Z54" i="15"/>
  <c r="Q55" i="15"/>
  <c r="R55" i="15"/>
  <c r="S55" i="15"/>
  <c r="T55" i="15"/>
  <c r="U55" i="15"/>
  <c r="V55" i="15"/>
  <c r="W55" i="15"/>
  <c r="X55" i="15"/>
  <c r="Y55" i="15"/>
  <c r="Z55" i="15"/>
  <c r="Q56" i="15"/>
  <c r="R56" i="15"/>
  <c r="S56" i="15"/>
  <c r="T56" i="15"/>
  <c r="U56" i="15"/>
  <c r="V56" i="15"/>
  <c r="W56" i="15"/>
  <c r="X56" i="15"/>
  <c r="Y56" i="15"/>
  <c r="Z56" i="15"/>
  <c r="Q57" i="15"/>
  <c r="R57" i="15"/>
  <c r="S57" i="15"/>
  <c r="T57" i="15"/>
  <c r="U57" i="15"/>
  <c r="V57" i="15"/>
  <c r="W57" i="15"/>
  <c r="X57" i="15"/>
  <c r="Y57" i="15"/>
  <c r="Z57" i="15"/>
  <c r="Q58" i="15"/>
  <c r="R58" i="15"/>
  <c r="S58" i="15"/>
  <c r="T58" i="15"/>
  <c r="U58" i="15"/>
  <c r="V58" i="15"/>
  <c r="W58" i="15"/>
  <c r="X58" i="15"/>
  <c r="Y58" i="15"/>
  <c r="Z58" i="15"/>
  <c r="Q59" i="15"/>
  <c r="R59" i="15"/>
  <c r="S59" i="15"/>
  <c r="T59" i="15"/>
  <c r="U59" i="15"/>
  <c r="V59" i="15"/>
  <c r="W59" i="15"/>
  <c r="X59" i="15"/>
  <c r="Y59" i="15"/>
  <c r="Z59" i="15"/>
  <c r="Q60" i="15"/>
  <c r="R60" i="15"/>
  <c r="S60" i="15"/>
  <c r="T60" i="15"/>
  <c r="U60" i="15"/>
  <c r="V60" i="15"/>
  <c r="W60" i="15"/>
  <c r="X60" i="15"/>
  <c r="Y60" i="15"/>
  <c r="Z60" i="15"/>
  <c r="Q61" i="15"/>
  <c r="R61" i="15"/>
  <c r="S61" i="15"/>
  <c r="T61" i="15"/>
  <c r="U61" i="15"/>
  <c r="V61" i="15"/>
  <c r="W61" i="15"/>
  <c r="X61" i="15"/>
  <c r="Y61" i="15"/>
  <c r="Z61" i="15"/>
  <c r="Q62" i="15"/>
  <c r="R62" i="15"/>
  <c r="S62" i="15"/>
  <c r="T62" i="15"/>
  <c r="U62" i="15"/>
  <c r="V62" i="15"/>
  <c r="W62" i="15"/>
  <c r="X62" i="15"/>
  <c r="Y62" i="15"/>
  <c r="Z62" i="15"/>
  <c r="Q63" i="15"/>
  <c r="R63" i="15"/>
  <c r="S63" i="15"/>
  <c r="T63" i="15"/>
  <c r="U63" i="15"/>
  <c r="V63" i="15"/>
  <c r="W63" i="15"/>
  <c r="X63" i="15"/>
  <c r="Y63" i="15"/>
  <c r="Z63" i="15"/>
  <c r="Q64" i="15"/>
  <c r="R64" i="15"/>
  <c r="S64" i="15"/>
  <c r="T64" i="15"/>
  <c r="U64" i="15"/>
  <c r="V64" i="15"/>
  <c r="W64" i="15"/>
  <c r="X64" i="15"/>
  <c r="Y64" i="15"/>
  <c r="Z64" i="15"/>
  <c r="Q65" i="15"/>
  <c r="R65" i="15"/>
  <c r="S65" i="15"/>
  <c r="T65" i="15"/>
  <c r="U65" i="15"/>
  <c r="V65" i="15"/>
  <c r="W65" i="15"/>
  <c r="X65" i="15"/>
  <c r="Y65" i="15"/>
  <c r="Z65" i="15"/>
  <c r="Q66" i="15"/>
  <c r="R66" i="15"/>
  <c r="S66" i="15"/>
  <c r="T66" i="15"/>
  <c r="U66" i="15"/>
  <c r="V66" i="15"/>
  <c r="W66" i="15"/>
  <c r="X66" i="15"/>
  <c r="Y66" i="15"/>
  <c r="Z66" i="15"/>
  <c r="Q67" i="15"/>
  <c r="R67" i="15"/>
  <c r="S67" i="15"/>
  <c r="T67" i="15"/>
  <c r="U67" i="15"/>
  <c r="V67" i="15"/>
  <c r="W67" i="15"/>
  <c r="X67" i="15"/>
  <c r="Y67" i="15"/>
  <c r="Z67" i="15"/>
  <c r="Q68" i="15"/>
  <c r="R68" i="15"/>
  <c r="S68" i="15"/>
  <c r="T68" i="15"/>
  <c r="U68" i="15"/>
  <c r="V68" i="15"/>
  <c r="W68" i="15"/>
  <c r="X68" i="15"/>
  <c r="Y68" i="15"/>
  <c r="Z68" i="15"/>
  <c r="Q69" i="15"/>
  <c r="R69" i="15"/>
  <c r="S69" i="15"/>
  <c r="T69" i="15"/>
  <c r="U69" i="15"/>
  <c r="V69" i="15"/>
  <c r="W69" i="15"/>
  <c r="X69" i="15"/>
  <c r="Y69" i="15"/>
  <c r="Z69" i="15"/>
  <c r="Q70" i="15"/>
  <c r="R70" i="15"/>
  <c r="S70" i="15"/>
  <c r="T70" i="15"/>
  <c r="U70" i="15"/>
  <c r="V70" i="15"/>
  <c r="W70" i="15"/>
  <c r="X70" i="15"/>
  <c r="Y70" i="15"/>
  <c r="Z70" i="15"/>
  <c r="Z47" i="15"/>
  <c r="Y47" i="15"/>
  <c r="X47" i="15"/>
  <c r="W47" i="15"/>
  <c r="V47" i="15"/>
  <c r="U47" i="15"/>
  <c r="T47" i="15"/>
  <c r="S47" i="15"/>
  <c r="R47" i="15"/>
  <c r="Q47" i="15"/>
  <c r="Q20" i="15"/>
  <c r="R20" i="15"/>
  <c r="S20" i="15"/>
  <c r="T20" i="15"/>
  <c r="U20" i="15"/>
  <c r="V20" i="15"/>
  <c r="W20" i="15"/>
  <c r="X20" i="15"/>
  <c r="Y20" i="15"/>
  <c r="Z20" i="15"/>
  <c r="Q21" i="15"/>
  <c r="R21" i="15"/>
  <c r="S21" i="15"/>
  <c r="T21" i="15"/>
  <c r="U21" i="15"/>
  <c r="V21" i="15"/>
  <c r="W21" i="15"/>
  <c r="X21" i="15"/>
  <c r="Y21" i="15"/>
  <c r="Z21" i="15"/>
  <c r="Q22" i="15"/>
  <c r="R22" i="15"/>
  <c r="S22" i="15"/>
  <c r="T22" i="15"/>
  <c r="U22" i="15"/>
  <c r="V22" i="15"/>
  <c r="W22" i="15"/>
  <c r="X22" i="15"/>
  <c r="Y22" i="15"/>
  <c r="Z22" i="15"/>
  <c r="Q23" i="15"/>
  <c r="R23" i="15"/>
  <c r="S23" i="15"/>
  <c r="T23" i="15"/>
  <c r="U23" i="15"/>
  <c r="V23" i="15"/>
  <c r="W23" i="15"/>
  <c r="X23" i="15"/>
  <c r="Y23" i="15"/>
  <c r="Z23" i="15"/>
  <c r="Q24" i="15"/>
  <c r="R24" i="15"/>
  <c r="S24" i="15"/>
  <c r="T24" i="15"/>
  <c r="U24" i="15"/>
  <c r="V24" i="15"/>
  <c r="W24" i="15"/>
  <c r="X24" i="15"/>
  <c r="Y24" i="15"/>
  <c r="Z24" i="15"/>
  <c r="Q25" i="15"/>
  <c r="R25" i="15"/>
  <c r="S25" i="15"/>
  <c r="T25" i="15"/>
  <c r="U25" i="15"/>
  <c r="V25" i="15"/>
  <c r="W25" i="15"/>
  <c r="X25" i="15"/>
  <c r="Y25" i="15"/>
  <c r="Z25" i="15"/>
  <c r="Q26" i="15"/>
  <c r="R26" i="15"/>
  <c r="S26" i="15"/>
  <c r="T26" i="15"/>
  <c r="U26" i="15"/>
  <c r="V26" i="15"/>
  <c r="W26" i="15"/>
  <c r="X26" i="15"/>
  <c r="Y26" i="15"/>
  <c r="Z26" i="15"/>
  <c r="Q27" i="15"/>
  <c r="R27" i="15"/>
  <c r="S27" i="15"/>
  <c r="T27" i="15"/>
  <c r="U27" i="15"/>
  <c r="V27" i="15"/>
  <c r="W27" i="15"/>
  <c r="X27" i="15"/>
  <c r="Y27" i="15"/>
  <c r="Z27" i="15"/>
  <c r="Q28" i="15"/>
  <c r="R28" i="15"/>
  <c r="S28" i="15"/>
  <c r="T28" i="15"/>
  <c r="U28" i="15"/>
  <c r="V28" i="15"/>
  <c r="W28" i="15"/>
  <c r="X28" i="15"/>
  <c r="Y28" i="15"/>
  <c r="Z28" i="15"/>
  <c r="Q29" i="15"/>
  <c r="R29" i="15"/>
  <c r="S29" i="15"/>
  <c r="T29" i="15"/>
  <c r="U29" i="15"/>
  <c r="V29" i="15"/>
  <c r="W29" i="15"/>
  <c r="X29" i="15"/>
  <c r="Y29" i="15"/>
  <c r="Z29" i="15"/>
  <c r="Q30" i="15"/>
  <c r="R30" i="15"/>
  <c r="S30" i="15"/>
  <c r="T30" i="15"/>
  <c r="U30" i="15"/>
  <c r="V30" i="15"/>
  <c r="W30" i="15"/>
  <c r="X30" i="15"/>
  <c r="Y30" i="15"/>
  <c r="Z30" i="15"/>
  <c r="Q31" i="15"/>
  <c r="R31" i="15"/>
  <c r="S31" i="15"/>
  <c r="T31" i="15"/>
  <c r="U31" i="15"/>
  <c r="V31" i="15"/>
  <c r="W31" i="15"/>
  <c r="X31" i="15"/>
  <c r="Y31" i="15"/>
  <c r="Z31" i="15"/>
  <c r="Q32" i="15"/>
  <c r="R32" i="15"/>
  <c r="S32" i="15"/>
  <c r="T32" i="15"/>
  <c r="U32" i="15"/>
  <c r="V32" i="15"/>
  <c r="W32" i="15"/>
  <c r="X32" i="15"/>
  <c r="Y32" i="15"/>
  <c r="Z32" i="15"/>
  <c r="Q33" i="15"/>
  <c r="R33" i="15"/>
  <c r="S33" i="15"/>
  <c r="T33" i="15"/>
  <c r="U33" i="15"/>
  <c r="V33" i="15"/>
  <c r="W33" i="15"/>
  <c r="X33" i="15"/>
  <c r="Y33" i="15"/>
  <c r="Z33" i="15"/>
  <c r="Q34" i="15"/>
  <c r="R34" i="15"/>
  <c r="S34" i="15"/>
  <c r="T34" i="15"/>
  <c r="U34" i="15"/>
  <c r="V34" i="15"/>
  <c r="W34" i="15"/>
  <c r="X34" i="15"/>
  <c r="Y34" i="15"/>
  <c r="Z34" i="15"/>
  <c r="Q35" i="15"/>
  <c r="R35" i="15"/>
  <c r="S35" i="15"/>
  <c r="T35" i="15"/>
  <c r="U35" i="15"/>
  <c r="V35" i="15"/>
  <c r="W35" i="15"/>
  <c r="X35" i="15"/>
  <c r="Y35" i="15"/>
  <c r="Z35" i="15"/>
  <c r="Q36" i="15"/>
  <c r="R36" i="15"/>
  <c r="S36" i="15"/>
  <c r="T36" i="15"/>
  <c r="U36" i="15"/>
  <c r="V36" i="15"/>
  <c r="W36" i="15"/>
  <c r="X36" i="15"/>
  <c r="Y36" i="15"/>
  <c r="Z36" i="15"/>
  <c r="Q37" i="15"/>
  <c r="R37" i="15"/>
  <c r="S37" i="15"/>
  <c r="T37" i="15"/>
  <c r="U37" i="15"/>
  <c r="V37" i="15"/>
  <c r="W37" i="15"/>
  <c r="X37" i="15"/>
  <c r="Y37" i="15"/>
  <c r="Z37" i="15"/>
  <c r="Q38" i="15"/>
  <c r="R38" i="15"/>
  <c r="S38" i="15"/>
  <c r="T38" i="15"/>
  <c r="U38" i="15"/>
  <c r="V38" i="15"/>
  <c r="W38" i="15"/>
  <c r="X38" i="15"/>
  <c r="Y38" i="15"/>
  <c r="Z38" i="15"/>
  <c r="Q39" i="15"/>
  <c r="R39" i="15"/>
  <c r="S39" i="15"/>
  <c r="T39" i="15"/>
  <c r="U39" i="15"/>
  <c r="V39" i="15"/>
  <c r="W39" i="15"/>
  <c r="X39" i="15"/>
  <c r="Y39" i="15"/>
  <c r="Z39" i="15"/>
  <c r="Q40" i="15"/>
  <c r="R40" i="15"/>
  <c r="S40" i="15"/>
  <c r="T40" i="15"/>
  <c r="U40" i="15"/>
  <c r="V40" i="15"/>
  <c r="W40" i="15"/>
  <c r="X40" i="15"/>
  <c r="Y40" i="15"/>
  <c r="Z40" i="15"/>
  <c r="Q41" i="15"/>
  <c r="R41" i="15"/>
  <c r="S41" i="15"/>
  <c r="T41" i="15"/>
  <c r="U41" i="15"/>
  <c r="V41" i="15"/>
  <c r="W41" i="15"/>
  <c r="X41" i="15"/>
  <c r="Y41" i="15"/>
  <c r="Z41" i="15"/>
  <c r="Q42" i="15"/>
  <c r="R42" i="15"/>
  <c r="S42" i="15"/>
  <c r="T42" i="15"/>
  <c r="U42" i="15"/>
  <c r="V42" i="15"/>
  <c r="W42" i="15"/>
  <c r="X42" i="15"/>
  <c r="Y42" i="15"/>
  <c r="Z42" i="15"/>
  <c r="Z19" i="15"/>
  <c r="Y19" i="15"/>
  <c r="X19" i="15"/>
  <c r="W19" i="15"/>
  <c r="V19" i="15"/>
  <c r="U19" i="15"/>
  <c r="T19" i="15"/>
  <c r="S19" i="15"/>
  <c r="R19" i="15"/>
  <c r="Q19" i="15"/>
  <c r="Q5" i="15"/>
  <c r="R5" i="15"/>
  <c r="S5" i="15"/>
  <c r="T5" i="15"/>
  <c r="U5" i="15"/>
  <c r="V5" i="15"/>
  <c r="W5" i="15"/>
  <c r="X5" i="15"/>
  <c r="Y5" i="15"/>
  <c r="Z5" i="15"/>
  <c r="Q6" i="15"/>
  <c r="R6" i="15"/>
  <c r="S6" i="15"/>
  <c r="T6" i="15"/>
  <c r="U6" i="15"/>
  <c r="V6" i="15"/>
  <c r="W6" i="15"/>
  <c r="X6" i="15"/>
  <c r="Y6" i="15"/>
  <c r="Z6" i="15"/>
  <c r="Q7" i="15"/>
  <c r="R7" i="15"/>
  <c r="S7" i="15"/>
  <c r="T7" i="15"/>
  <c r="U7" i="15"/>
  <c r="V7" i="15"/>
  <c r="W7" i="15"/>
  <c r="X7" i="15"/>
  <c r="Y7" i="15"/>
  <c r="Z7" i="15"/>
  <c r="Q8" i="15"/>
  <c r="R8" i="15"/>
  <c r="S8" i="15"/>
  <c r="T8" i="15"/>
  <c r="U8" i="15"/>
  <c r="V8" i="15"/>
  <c r="W8" i="15"/>
  <c r="X8" i="15"/>
  <c r="Y8" i="15"/>
  <c r="Z8" i="15"/>
  <c r="Q9" i="15"/>
  <c r="R9" i="15"/>
  <c r="S9" i="15"/>
  <c r="T9" i="15"/>
  <c r="U9" i="15"/>
  <c r="V9" i="15"/>
  <c r="W9" i="15"/>
  <c r="X9" i="15"/>
  <c r="Y9" i="15"/>
  <c r="Z9" i="15"/>
  <c r="Q10" i="15"/>
  <c r="R10" i="15"/>
  <c r="S10" i="15"/>
  <c r="T10" i="15"/>
  <c r="U10" i="15"/>
  <c r="V10" i="15"/>
  <c r="W10" i="15"/>
  <c r="X10" i="15"/>
  <c r="Y10" i="15"/>
  <c r="Z10" i="15"/>
  <c r="Q11" i="15"/>
  <c r="R11" i="15"/>
  <c r="S11" i="15"/>
  <c r="T11" i="15"/>
  <c r="U11" i="15"/>
  <c r="V11" i="15"/>
  <c r="W11" i="15"/>
  <c r="X11" i="15"/>
  <c r="Y11" i="15"/>
  <c r="Z11" i="15"/>
  <c r="Q12" i="15"/>
  <c r="R12" i="15"/>
  <c r="S12" i="15"/>
  <c r="T12" i="15"/>
  <c r="U12" i="15"/>
  <c r="V12" i="15"/>
  <c r="W12" i="15"/>
  <c r="X12" i="15"/>
  <c r="Y12" i="15"/>
  <c r="Z12" i="15"/>
  <c r="Q13" i="15"/>
  <c r="R13" i="15"/>
  <c r="S13" i="15"/>
  <c r="T13" i="15"/>
  <c r="U13" i="15"/>
  <c r="V13" i="15"/>
  <c r="W13" i="15"/>
  <c r="X13" i="15"/>
  <c r="Y13" i="15"/>
  <c r="Z13" i="15"/>
  <c r="Q14" i="15"/>
  <c r="R14" i="15"/>
  <c r="S14" i="15"/>
  <c r="T14" i="15"/>
  <c r="U14" i="15"/>
  <c r="V14" i="15"/>
  <c r="W14" i="15"/>
  <c r="X14" i="15"/>
  <c r="Y14" i="15"/>
  <c r="Z14" i="15"/>
  <c r="Q15" i="15"/>
  <c r="R15" i="15"/>
  <c r="S15" i="15"/>
  <c r="T15" i="15"/>
  <c r="U15" i="15"/>
  <c r="V15" i="15"/>
  <c r="W15" i="15"/>
  <c r="X15" i="15"/>
  <c r="Y15" i="15"/>
  <c r="Z15" i="15"/>
  <c r="Z4" i="15"/>
  <c r="Y4" i="15"/>
  <c r="X4" i="15"/>
  <c r="W4" i="15"/>
  <c r="V4" i="15"/>
  <c r="U4" i="15"/>
  <c r="T4" i="15"/>
  <c r="S4" i="15"/>
  <c r="R4" i="15"/>
  <c r="Q4" i="15"/>
  <c r="AA51" i="15" l="1"/>
  <c r="AA83" i="15"/>
  <c r="AA118" i="15"/>
  <c r="AA110" i="15"/>
  <c r="AA126" i="15"/>
  <c r="AA124" i="15"/>
  <c r="AA10" i="15"/>
  <c r="AA31" i="15"/>
  <c r="AA65" i="15"/>
  <c r="AA63" i="15"/>
  <c r="AA57" i="15"/>
  <c r="AA55" i="15"/>
  <c r="AA93" i="15"/>
  <c r="AA87" i="15"/>
  <c r="AA123" i="15"/>
  <c r="AA114" i="15"/>
  <c r="AA132" i="15"/>
  <c r="AA131" i="15"/>
  <c r="AA122" i="15"/>
  <c r="AA112" i="15"/>
  <c r="AA14" i="15"/>
  <c r="AA41" i="15"/>
  <c r="AA37" i="15"/>
  <c r="AA97" i="15"/>
  <c r="AA91" i="15"/>
  <c r="AA89" i="15"/>
  <c r="AA85" i="15"/>
  <c r="AA81" i="15"/>
  <c r="AA79" i="15"/>
  <c r="AA75" i="15"/>
  <c r="AA104" i="15"/>
  <c r="AA116" i="15"/>
  <c r="AA115" i="15"/>
  <c r="AA106" i="15"/>
  <c r="AA130" i="15"/>
  <c r="AA128" i="15"/>
  <c r="AA120" i="15"/>
  <c r="AA108" i="15"/>
  <c r="N17" i="7"/>
  <c r="N14" i="7"/>
  <c r="N19" i="7"/>
  <c r="AA77" i="15"/>
  <c r="AA107" i="15"/>
  <c r="AA129" i="15"/>
  <c r="AA121" i="15"/>
  <c r="AA113" i="15"/>
  <c r="AA105" i="15"/>
  <c r="AA6" i="15"/>
  <c r="AA35" i="15"/>
  <c r="AA33" i="15"/>
  <c r="AA27" i="15"/>
  <c r="AA23" i="15"/>
  <c r="AA21" i="15"/>
  <c r="AA67" i="15"/>
  <c r="AA59" i="15"/>
  <c r="AA95" i="15"/>
  <c r="AA13" i="15"/>
  <c r="AA11" i="15"/>
  <c r="AA9" i="15"/>
  <c r="AA7" i="15"/>
  <c r="AA5" i="15"/>
  <c r="AA42" i="15"/>
  <c r="AA40" i="15"/>
  <c r="AA38" i="15"/>
  <c r="AA36" i="15"/>
  <c r="AA34" i="15"/>
  <c r="AA32" i="15"/>
  <c r="AA30" i="15"/>
  <c r="AA28" i="15"/>
  <c r="AA26" i="15"/>
  <c r="AA24" i="15"/>
  <c r="AA22" i="15"/>
  <c r="AA20" i="15"/>
  <c r="AA70" i="15"/>
  <c r="AA68" i="15"/>
  <c r="AA66" i="15"/>
  <c r="AA64" i="15"/>
  <c r="AA62" i="15"/>
  <c r="AA60" i="15"/>
  <c r="AA58" i="15"/>
  <c r="AA56" i="15"/>
  <c r="AA54" i="15"/>
  <c r="AA52" i="15"/>
  <c r="AA50" i="15"/>
  <c r="AA48" i="15"/>
  <c r="AA127" i="15"/>
  <c r="AA119" i="15"/>
  <c r="AA111" i="15"/>
  <c r="AA12" i="15"/>
  <c r="AA8" i="15"/>
  <c r="AA39" i="15"/>
  <c r="AA29" i="15"/>
  <c r="AA25" i="15"/>
  <c r="AA69" i="15"/>
  <c r="AA61" i="15"/>
  <c r="AA53" i="15"/>
  <c r="AA49" i="15"/>
  <c r="AA15" i="15"/>
  <c r="AA4" i="15"/>
  <c r="AA19" i="15"/>
  <c r="AA47" i="15"/>
  <c r="AA74" i="15"/>
  <c r="AA96" i="15"/>
  <c r="AA94" i="15"/>
  <c r="AA92" i="15"/>
  <c r="AA90" i="15"/>
  <c r="AA88" i="15"/>
  <c r="AA86" i="15"/>
  <c r="AA84" i="15"/>
  <c r="AA82" i="15"/>
  <c r="AA80" i="15"/>
  <c r="AA78" i="15"/>
  <c r="AA76" i="15"/>
  <c r="AA103" i="15"/>
  <c r="AA125" i="15"/>
  <c r="AA117" i="15"/>
  <c r="AA109" i="15"/>
  <c r="N12" i="7"/>
  <c r="N10" i="7"/>
  <c r="J8" i="17"/>
  <c r="J11" i="17"/>
  <c r="J12" i="17" l="1"/>
  <c r="J13" i="17"/>
  <c r="J14" i="17"/>
  <c r="J10" i="17"/>
  <c r="O8" i="17" l="1"/>
  <c r="J9" i="17"/>
  <c r="L8" i="17"/>
  <c r="M8" i="17"/>
  <c r="N8" i="17"/>
  <c r="P8" i="17" l="1"/>
  <c r="Q8" i="17" s="1"/>
  <c r="D15" i="17"/>
  <c r="J15" i="17" s="1"/>
  <c r="B28" i="17" l="1"/>
  <c r="N40" i="20" s="1"/>
  <c r="J17" i="17"/>
  <c r="O11" i="17" s="1"/>
  <c r="D16" i="17"/>
  <c r="J16" i="17" s="1"/>
  <c r="U8" i="7"/>
  <c r="D18" i="17"/>
  <c r="J18" i="17" s="1"/>
  <c r="E8" i="17"/>
  <c r="D19" i="17"/>
  <c r="J19" i="17" s="1"/>
  <c r="M11" i="17"/>
  <c r="O9" i="17"/>
  <c r="M9" i="17"/>
  <c r="N9" i="17"/>
  <c r="L9" i="17"/>
  <c r="J8" i="16"/>
  <c r="L8" i="16" l="1"/>
  <c r="N8" i="16"/>
  <c r="M8" i="16"/>
  <c r="O8" i="16"/>
  <c r="N11" i="17"/>
  <c r="O40" i="20"/>
  <c r="D24" i="18"/>
  <c r="W24" i="18" s="1"/>
  <c r="D14" i="18"/>
  <c r="W14" i="18" s="1"/>
  <c r="D11" i="18"/>
  <c r="W11" i="18" s="1"/>
  <c r="D21" i="18"/>
  <c r="W21" i="18" s="1"/>
  <c r="D15" i="18"/>
  <c r="W15" i="18" s="1"/>
  <c r="D19" i="18"/>
  <c r="W19" i="18" s="1"/>
  <c r="D8" i="18"/>
  <c r="W8" i="18" s="1"/>
  <c r="D18" i="18"/>
  <c r="W18" i="18" s="1"/>
  <c r="D13" i="18"/>
  <c r="W13" i="18" s="1"/>
  <c r="D12" i="18"/>
  <c r="W12" i="18" s="1"/>
  <c r="D20" i="18"/>
  <c r="W20" i="18" s="1"/>
  <c r="D10" i="18"/>
  <c r="W10" i="18" s="1"/>
  <c r="D23" i="18"/>
  <c r="W23" i="18" s="1"/>
  <c r="D17" i="18"/>
  <c r="W17" i="18" s="1"/>
  <c r="D9" i="18"/>
  <c r="W9" i="18" s="1"/>
  <c r="D16" i="18"/>
  <c r="W16" i="18" s="1"/>
  <c r="D25" i="18"/>
  <c r="W25" i="18" s="1"/>
  <c r="D22" i="18"/>
  <c r="W22" i="18" s="1"/>
  <c r="L11" i="17"/>
  <c r="P11" i="17" s="1"/>
  <c r="Q11" i="17" s="1"/>
  <c r="D28" i="17"/>
  <c r="Z12" i="7"/>
  <c r="X12" i="7"/>
  <c r="W12" i="7"/>
  <c r="Y12" i="7"/>
  <c r="Z8" i="7"/>
  <c r="Y8" i="7"/>
  <c r="X8" i="7"/>
  <c r="W8" i="7"/>
  <c r="J21" i="17"/>
  <c r="O10" i="17"/>
  <c r="M10" i="17"/>
  <c r="N10" i="17"/>
  <c r="L10" i="17"/>
  <c r="D20" i="17"/>
  <c r="J20" i="17" s="1"/>
  <c r="O12" i="17" s="1"/>
  <c r="P9" i="17"/>
  <c r="Q9" i="17" s="1"/>
  <c r="B29" i="17" s="1"/>
  <c r="N41" i="20" s="1"/>
  <c r="O41" i="20" s="1"/>
  <c r="W10" i="7"/>
  <c r="Y10" i="7"/>
  <c r="X10" i="7"/>
  <c r="Z10" i="7"/>
  <c r="Z9" i="7"/>
  <c r="X9" i="7"/>
  <c r="Y9" i="7"/>
  <c r="W9" i="7"/>
  <c r="M12" i="17" l="1"/>
  <c r="L12" i="17"/>
  <c r="N12" i="17"/>
  <c r="P12" i="16"/>
  <c r="Q12" i="16" s="1"/>
  <c r="B34" i="16" s="1"/>
  <c r="N31" i="20" s="1"/>
  <c r="O31" i="20" s="1"/>
  <c r="AB9" i="18"/>
  <c r="Z9" i="18"/>
  <c r="AA9" i="18"/>
  <c r="Y9" i="18"/>
  <c r="AA14" i="7"/>
  <c r="AB14" i="7" s="1"/>
  <c r="B38" i="7" s="1"/>
  <c r="N9" i="20" s="1"/>
  <c r="B31" i="17"/>
  <c r="N43" i="20" s="1"/>
  <c r="O43" i="20" s="1"/>
  <c r="P10" i="17"/>
  <c r="Q10" i="17" s="1"/>
  <c r="AA11" i="18"/>
  <c r="AB11" i="18"/>
  <c r="Y11" i="18"/>
  <c r="Z11" i="18"/>
  <c r="Z12" i="18"/>
  <c r="Z13" i="18"/>
  <c r="Y13" i="18"/>
  <c r="AA13" i="18"/>
  <c r="AB13" i="18"/>
  <c r="AA12" i="18"/>
  <c r="Y12" i="18"/>
  <c r="AB12" i="18"/>
  <c r="Z10" i="18"/>
  <c r="AB10" i="18"/>
  <c r="J28" i="17"/>
  <c r="AA8" i="18"/>
  <c r="Z8" i="18"/>
  <c r="Y8" i="18"/>
  <c r="AB8" i="18"/>
  <c r="P14" i="16"/>
  <c r="Q14" i="16" s="1"/>
  <c r="B36" i="16" s="1"/>
  <c r="N33" i="20" s="1"/>
  <c r="O33" i="20" s="1"/>
  <c r="AA10" i="18"/>
  <c r="E17" i="17"/>
  <c r="Y10" i="18"/>
  <c r="P9" i="16"/>
  <c r="Q9" i="16" s="1"/>
  <c r="B31" i="16" s="1"/>
  <c r="N28" i="20" s="1"/>
  <c r="O28" i="20" s="1"/>
  <c r="O13" i="17"/>
  <c r="M13" i="17"/>
  <c r="N13" i="17"/>
  <c r="L13" i="17"/>
  <c r="E15" i="17"/>
  <c r="Z11" i="7"/>
  <c r="X13" i="7"/>
  <c r="Y13" i="7"/>
  <c r="Y11" i="7"/>
  <c r="AA10" i="7"/>
  <c r="AA9" i="7"/>
  <c r="AA8" i="7"/>
  <c r="P12" i="17" l="1"/>
  <c r="Q12" i="17" s="1"/>
  <c r="E16" i="17"/>
  <c r="D31" i="17" s="1"/>
  <c r="J31" i="17" s="1"/>
  <c r="B30" i="17"/>
  <c r="N42" i="20" s="1"/>
  <c r="P11" i="16"/>
  <c r="Q11" i="16" s="1"/>
  <c r="M21" i="18"/>
  <c r="N59" i="18" s="1"/>
  <c r="AC12" i="18"/>
  <c r="AD12" i="18" s="1"/>
  <c r="AC11" i="18"/>
  <c r="AD11" i="18" s="1"/>
  <c r="AC13" i="18"/>
  <c r="AD13" i="18" s="1"/>
  <c r="AC9" i="18"/>
  <c r="AD9" i="18" s="1"/>
  <c r="R14" i="18"/>
  <c r="P8" i="16"/>
  <c r="Q8" i="16" s="1"/>
  <c r="B30" i="16" s="1"/>
  <c r="N27" i="20" s="1"/>
  <c r="AB9" i="7"/>
  <c r="B33" i="7" s="1"/>
  <c r="N4" i="20" s="1"/>
  <c r="AB8" i="7"/>
  <c r="B32" i="7" s="1"/>
  <c r="N3" i="20" s="1"/>
  <c r="AB10" i="7"/>
  <c r="E10" i="16"/>
  <c r="D31" i="16" s="1"/>
  <c r="P13" i="16"/>
  <c r="Q13" i="16" s="1"/>
  <c r="B35" i="16" s="1"/>
  <c r="N32" i="20" s="1"/>
  <c r="O32" i="20" s="1"/>
  <c r="E18" i="16"/>
  <c r="D34" i="16" s="1"/>
  <c r="P10" i="16"/>
  <c r="Q10" i="16" s="1"/>
  <c r="B32" i="16" s="1"/>
  <c r="N29" i="20" s="1"/>
  <c r="O29" i="20" s="1"/>
  <c r="E22" i="16"/>
  <c r="D36" i="16" s="1"/>
  <c r="K46" i="8"/>
  <c r="P15" i="16"/>
  <c r="Q15" i="16" s="1"/>
  <c r="B37" i="16" s="1"/>
  <c r="N34" i="20" s="1"/>
  <c r="O34" i="20" s="1"/>
  <c r="AC10" i="18"/>
  <c r="AD10" i="18" s="1"/>
  <c r="B34" i="18" s="1"/>
  <c r="N52" i="20" s="1"/>
  <c r="AC8" i="18"/>
  <c r="B32" i="18" s="1"/>
  <c r="P13" i="17"/>
  <c r="W11" i="7"/>
  <c r="Z13" i="7"/>
  <c r="X11" i="7"/>
  <c r="W13" i="7"/>
  <c r="K8" i="8"/>
  <c r="B32" i="17" l="1"/>
  <c r="N44" i="20" s="1"/>
  <c r="O44" i="20" s="1"/>
  <c r="E18" i="17"/>
  <c r="P16" i="8"/>
  <c r="O16" i="8"/>
  <c r="N16" i="8"/>
  <c r="M16" i="8"/>
  <c r="O42" i="20"/>
  <c r="N46" i="20"/>
  <c r="N64" i="20" s="1"/>
  <c r="D30" i="17"/>
  <c r="J30" i="17" s="1"/>
  <c r="O27" i="20"/>
  <c r="E17" i="16"/>
  <c r="B33" i="16"/>
  <c r="N30" i="20" s="1"/>
  <c r="O30" i="20" s="1"/>
  <c r="N50" i="20"/>
  <c r="B38" i="18"/>
  <c r="O50" i="20"/>
  <c r="E20" i="18"/>
  <c r="B35" i="18"/>
  <c r="N53" i="20" s="1"/>
  <c r="M19" i="18"/>
  <c r="N57" i="18" s="1"/>
  <c r="B37" i="18"/>
  <c r="N55" i="20" s="1"/>
  <c r="E21" i="18"/>
  <c r="B36" i="18"/>
  <c r="N54" i="20" s="1"/>
  <c r="E11" i="18"/>
  <c r="B33" i="18"/>
  <c r="N51" i="20" s="1"/>
  <c r="M12" i="7"/>
  <c r="N38" i="7" s="1"/>
  <c r="R8" i="7" s="1"/>
  <c r="B34" i="7"/>
  <c r="N5" i="20" s="1"/>
  <c r="B33" i="17"/>
  <c r="N45" i="20" s="1"/>
  <c r="O45" i="20" s="1"/>
  <c r="M17" i="18"/>
  <c r="N55" i="18" s="1"/>
  <c r="E8" i="16"/>
  <c r="D30" i="16" s="1"/>
  <c r="M14" i="18"/>
  <c r="N51" i="18" s="1"/>
  <c r="E25" i="18"/>
  <c r="W38" i="18" s="1"/>
  <c r="M10" i="18"/>
  <c r="R9" i="18" s="1"/>
  <c r="E24" i="18"/>
  <c r="M8" i="7"/>
  <c r="N34" i="7" s="1"/>
  <c r="R6" i="7" s="1"/>
  <c r="E8" i="7"/>
  <c r="D29" i="17"/>
  <c r="M10" i="7"/>
  <c r="N36" i="7" s="1"/>
  <c r="R7" i="7" s="1"/>
  <c r="E11" i="7"/>
  <c r="AA13" i="7"/>
  <c r="AB13" i="7" s="1"/>
  <c r="E12" i="7"/>
  <c r="M8" i="18"/>
  <c r="E8" i="18"/>
  <c r="E13" i="18"/>
  <c r="D34" i="18" s="1"/>
  <c r="W34" i="18" s="1"/>
  <c r="M12" i="18"/>
  <c r="E21" i="17"/>
  <c r="E22" i="17" s="1"/>
  <c r="E24" i="16"/>
  <c r="D37" i="16" s="1"/>
  <c r="E21" i="16"/>
  <c r="D35" i="16" s="1"/>
  <c r="E11" i="16"/>
  <c r="AA12" i="7"/>
  <c r="AA11" i="7"/>
  <c r="P8" i="8"/>
  <c r="O8" i="8"/>
  <c r="N8" i="8"/>
  <c r="M8" i="8"/>
  <c r="D32" i="17" l="1"/>
  <c r="J32" i="17" s="1"/>
  <c r="N56" i="20"/>
  <c r="N65" i="20" s="1"/>
  <c r="D37" i="18"/>
  <c r="W37" i="18" s="1"/>
  <c r="D36" i="18"/>
  <c r="W36" i="18" s="1"/>
  <c r="D35" i="18"/>
  <c r="W35" i="18" s="1"/>
  <c r="D34" i="7"/>
  <c r="O46" i="20"/>
  <c r="O64" i="20" s="1"/>
  <c r="O35" i="20"/>
  <c r="O63" i="20" s="1"/>
  <c r="D33" i="16"/>
  <c r="N35" i="20"/>
  <c r="Q15" i="8"/>
  <c r="R15" i="8" s="1"/>
  <c r="B64" i="8" s="1"/>
  <c r="N21" i="20" s="1"/>
  <c r="Q16" i="8"/>
  <c r="R16" i="8" s="1"/>
  <c r="B65" i="8" s="1"/>
  <c r="N22" i="20" s="1"/>
  <c r="O22" i="20" s="1"/>
  <c r="R13" i="18"/>
  <c r="D33" i="18"/>
  <c r="W33" i="18" s="1"/>
  <c r="E25" i="7"/>
  <c r="D38" i="7" s="1"/>
  <c r="E23" i="7"/>
  <c r="B37" i="7"/>
  <c r="R12" i="18"/>
  <c r="N47" i="18"/>
  <c r="R11" i="18"/>
  <c r="E27" i="16"/>
  <c r="E26" i="18"/>
  <c r="N6" i="18" s="1"/>
  <c r="J29" i="17"/>
  <c r="D33" i="7"/>
  <c r="M19" i="7"/>
  <c r="N45" i="7" s="1"/>
  <c r="R11" i="7" s="1"/>
  <c r="AB11" i="7"/>
  <c r="AB12" i="7"/>
  <c r="E21" i="7" s="1"/>
  <c r="N49" i="18"/>
  <c r="R10" i="18"/>
  <c r="N45" i="18"/>
  <c r="R8" i="18"/>
  <c r="M24" i="18"/>
  <c r="P9" i="8"/>
  <c r="O9" i="8"/>
  <c r="N9" i="8"/>
  <c r="M9" i="8"/>
  <c r="Q8" i="8"/>
  <c r="R8" i="8" s="1"/>
  <c r="B57" i="8" s="1"/>
  <c r="N14" i="20" s="1"/>
  <c r="O12" i="8"/>
  <c r="K33" i="20"/>
  <c r="K45" i="20"/>
  <c r="K44" i="20"/>
  <c r="K43" i="20"/>
  <c r="K42" i="20"/>
  <c r="K41" i="20"/>
  <c r="K28" i="20"/>
  <c r="K30" i="20"/>
  <c r="I4" i="20"/>
  <c r="M4" i="20" s="1"/>
  <c r="O4" i="20" s="1"/>
  <c r="I7" i="20" l="1"/>
  <c r="M7" i="20" s="1"/>
  <c r="I9" i="20"/>
  <c r="M9" i="20" s="1"/>
  <c r="O9" i="20" s="1"/>
  <c r="I6" i="20"/>
  <c r="M6" i="20" s="1"/>
  <c r="I5" i="20"/>
  <c r="M5" i="20" s="1"/>
  <c r="O5" i="20" s="1"/>
  <c r="D37" i="7"/>
  <c r="N8" i="20"/>
  <c r="O8" i="20" s="1"/>
  <c r="N61" i="18"/>
  <c r="M14" i="7"/>
  <c r="B35" i="7"/>
  <c r="N6" i="20" s="1"/>
  <c r="M17" i="7"/>
  <c r="N43" i="7" s="1"/>
  <c r="B36" i="7"/>
  <c r="M53" i="20"/>
  <c r="O53" i="20" s="1"/>
  <c r="M55" i="20"/>
  <c r="O55" i="20" s="1"/>
  <c r="K34" i="20"/>
  <c r="K27" i="20"/>
  <c r="K31" i="20"/>
  <c r="K29" i="20"/>
  <c r="K32" i="20"/>
  <c r="D18" i="20"/>
  <c r="D4" i="20"/>
  <c r="D3" i="20"/>
  <c r="D8" i="20"/>
  <c r="K8" i="20" s="1"/>
  <c r="D15" i="20"/>
  <c r="K15" i="20" s="1"/>
  <c r="D9" i="20"/>
  <c r="D22" i="20"/>
  <c r="D21" i="20"/>
  <c r="D20" i="20"/>
  <c r="D19" i="20"/>
  <c r="D7" i="20"/>
  <c r="D6" i="20"/>
  <c r="D5" i="20"/>
  <c r="D16" i="20"/>
  <c r="D32" i="18"/>
  <c r="D38" i="18" s="1"/>
  <c r="D33" i="17"/>
  <c r="B34" i="17"/>
  <c r="D32" i="16"/>
  <c r="B38" i="16"/>
  <c r="Q20" i="8"/>
  <c r="Q9" i="8"/>
  <c r="E16" i="7"/>
  <c r="E28" i="7" s="1"/>
  <c r="N40" i="7"/>
  <c r="M21" i="7"/>
  <c r="N6" i="7"/>
  <c r="E8" i="8"/>
  <c r="P10" i="8"/>
  <c r="N10" i="8"/>
  <c r="O10" i="8"/>
  <c r="M10" i="8"/>
  <c r="N12" i="8"/>
  <c r="M12" i="8"/>
  <c r="P11" i="8"/>
  <c r="N11" i="8"/>
  <c r="O11" i="8"/>
  <c r="M11" i="8"/>
  <c r="O13" i="8"/>
  <c r="M13" i="8"/>
  <c r="P13" i="8"/>
  <c r="N13" i="8"/>
  <c r="P12" i="8"/>
  <c r="S14" i="8" l="1"/>
  <c r="S12" i="8"/>
  <c r="S13" i="8"/>
  <c r="D36" i="7"/>
  <c r="N7" i="20"/>
  <c r="N10" i="20" s="1"/>
  <c r="N61" i="20" s="1"/>
  <c r="O6" i="20"/>
  <c r="K35" i="20"/>
  <c r="M52" i="20"/>
  <c r="O52" i="20" s="1"/>
  <c r="M51" i="20"/>
  <c r="M54" i="20"/>
  <c r="O54" i="20" s="1"/>
  <c r="J46" i="20"/>
  <c r="J64" i="20" s="1"/>
  <c r="K40" i="20"/>
  <c r="K46" i="20" s="1"/>
  <c r="K64" i="20" s="1"/>
  <c r="K16" i="20"/>
  <c r="J23" i="20"/>
  <c r="J62" i="20" s="1"/>
  <c r="K9" i="20"/>
  <c r="K5" i="20"/>
  <c r="K7" i="20"/>
  <c r="K4" i="20"/>
  <c r="K6" i="20"/>
  <c r="J10" i="20"/>
  <c r="J61" i="20" s="1"/>
  <c r="C23" i="20"/>
  <c r="C62" i="20" s="1"/>
  <c r="C10" i="20"/>
  <c r="J33" i="17"/>
  <c r="D34" i="17"/>
  <c r="J34" i="17" s="1"/>
  <c r="D38" i="16"/>
  <c r="W32" i="18"/>
  <c r="R9" i="8"/>
  <c r="Q19" i="8"/>
  <c r="Q21" i="8" s="1"/>
  <c r="D35" i="7"/>
  <c r="B39" i="7"/>
  <c r="R9" i="7"/>
  <c r="N47" i="7"/>
  <c r="R10" i="7"/>
  <c r="Q11" i="8"/>
  <c r="R11" i="8" s="1"/>
  <c r="B60" i="8" s="1"/>
  <c r="Q10" i="8"/>
  <c r="R10" i="8" s="1"/>
  <c r="B59" i="8" s="1"/>
  <c r="N16" i="20" s="1"/>
  <c r="Q14" i="8"/>
  <c r="R14" i="8" s="1"/>
  <c r="B63" i="8" s="1"/>
  <c r="Q13" i="8"/>
  <c r="Q12" i="8"/>
  <c r="I19" i="20" l="1"/>
  <c r="U13" i="8"/>
  <c r="F38" i="8" s="1"/>
  <c r="C62" i="8" s="1"/>
  <c r="N20" i="20"/>
  <c r="I20" i="20"/>
  <c r="U14" i="8"/>
  <c r="F39" i="8" s="1"/>
  <c r="C63" i="8" s="1"/>
  <c r="D63" i="8" s="1"/>
  <c r="I18" i="20"/>
  <c r="S17" i="8"/>
  <c r="U12" i="8"/>
  <c r="F29" i="8" s="1"/>
  <c r="C61" i="8" s="1"/>
  <c r="N17" i="20"/>
  <c r="O17" i="20" s="1"/>
  <c r="O7" i="20"/>
  <c r="O51" i="20"/>
  <c r="M56" i="20"/>
  <c r="M65" i="20" s="1"/>
  <c r="D65" i="8"/>
  <c r="O16" i="20"/>
  <c r="D59" i="8"/>
  <c r="B58" i="8"/>
  <c r="N15" i="20" s="1"/>
  <c r="O56" i="20"/>
  <c r="O65" i="20" s="1"/>
  <c r="D10" i="20"/>
  <c r="D61" i="20" s="1"/>
  <c r="C61" i="20"/>
  <c r="F61" i="20" s="1"/>
  <c r="E13" i="8"/>
  <c r="E22" i="8"/>
  <c r="E43" i="8"/>
  <c r="E26" i="8"/>
  <c r="R12" i="8"/>
  <c r="R13" i="8"/>
  <c r="B62" i="8" s="1"/>
  <c r="M20" i="20" l="1"/>
  <c r="O20" i="20" s="1"/>
  <c r="K20" i="20"/>
  <c r="D62" i="8"/>
  <c r="N19" i="20"/>
  <c r="M18" i="20"/>
  <c r="K18" i="20"/>
  <c r="M19" i="20"/>
  <c r="K19" i="20"/>
  <c r="E41" i="8"/>
  <c r="E29" i="8"/>
  <c r="B61" i="8"/>
  <c r="N18" i="20" s="1"/>
  <c r="D58" i="8"/>
  <c r="C66" i="20"/>
  <c r="C67" i="20" s="1"/>
  <c r="O15" i="20" l="1"/>
  <c r="E49" i="8"/>
  <c r="O18" i="20"/>
  <c r="D61" i="8"/>
  <c r="O19" i="20"/>
  <c r="D64" i="8"/>
  <c r="B66" i="8"/>
  <c r="O21" i="20" s="1"/>
  <c r="N23" i="20" l="1"/>
  <c r="N62" i="20" s="1"/>
  <c r="B17" i="20"/>
  <c r="B14" i="20"/>
  <c r="F14" i="20" s="1"/>
  <c r="D17" i="20" l="1"/>
  <c r="K17" i="20" s="1"/>
  <c r="F17" i="20"/>
  <c r="F23" i="20" s="1"/>
  <c r="B23" i="20"/>
  <c r="B62" i="20" s="1"/>
  <c r="D14" i="20"/>
  <c r="B66" i="20" l="1"/>
  <c r="F62" i="20"/>
  <c r="F66" i="20" s="1"/>
  <c r="B67" i="20"/>
  <c r="U11" i="8"/>
  <c r="F26" i="8" s="1"/>
  <c r="C60" i="8" s="1"/>
  <c r="U8" i="8"/>
  <c r="F8" i="8" s="1"/>
  <c r="C57" i="8" s="1"/>
  <c r="D23" i="20"/>
  <c r="D62" i="20" s="1"/>
  <c r="D66" i="20" s="1"/>
  <c r="D67" i="20" l="1"/>
  <c r="D57" i="8"/>
  <c r="D60" i="8"/>
  <c r="C66" i="8" l="1"/>
  <c r="F49" i="8" s="1"/>
  <c r="D66" i="8"/>
  <c r="AE8" i="7" l="1"/>
  <c r="F8" i="7" s="1"/>
  <c r="F28" i="7" l="1"/>
  <c r="C32" i="7"/>
  <c r="I3" i="20"/>
  <c r="N8" i="7"/>
  <c r="N21" i="7" s="1"/>
  <c r="M3" i="20" l="1"/>
  <c r="K3" i="20"/>
  <c r="I10" i="20"/>
  <c r="C39" i="7"/>
  <c r="D32" i="7"/>
  <c r="D39" i="7" s="1"/>
  <c r="I61" i="20" l="1"/>
  <c r="K10" i="20"/>
  <c r="K61" i="20" s="1"/>
  <c r="O3" i="20"/>
  <c r="O10" i="20" s="1"/>
  <c r="O61" i="20" s="1"/>
  <c r="M10" i="20"/>
  <c r="M61" i="20" s="1"/>
  <c r="W39" i="18" l="1"/>
  <c r="K14" i="20" l="1"/>
  <c r="K23" i="20" s="1"/>
  <c r="K62" i="20" s="1"/>
  <c r="M14" i="20"/>
  <c r="I23" i="20"/>
  <c r="I62" i="20" s="1"/>
  <c r="M23" i="20" l="1"/>
  <c r="M62" i="20" s="1"/>
  <c r="O14" i="20"/>
  <c r="O23" i="20" s="1"/>
  <c r="O62" i="20" s="1"/>
  <c r="O66" i="20" s="1"/>
  <c r="M63" i="20" l="1"/>
  <c r="M66" i="20" s="1"/>
  <c r="N63" i="20"/>
  <c r="N66" i="20" s="1"/>
  <c r="I63" i="20"/>
  <c r="J63" i="20"/>
  <c r="K63" i="20"/>
  <c r="J65" i="20"/>
  <c r="J66" i="20"/>
  <c r="I65" i="20"/>
  <c r="I66" i="20"/>
  <c r="K65" i="20"/>
  <c r="K66" i="20"/>
</calcChain>
</file>

<file path=xl/comments1.xml><?xml version="1.0" encoding="utf-8"?>
<comments xmlns="http://schemas.openxmlformats.org/spreadsheetml/2006/main">
  <authors>
    <author>andresfvenegas@hotmail.com</author>
  </authors>
  <commentList>
    <comment ref="I7" authorId="0">
      <text>
        <r>
          <rPr>
            <b/>
            <sz val="9"/>
            <color indexed="81"/>
            <rFont val="Tahoma"/>
            <charset val="1"/>
          </rPr>
          <t>La V. Academica ejecuto el 98% de lo asignado. A las Facultades le sobraron $11 millones</t>
        </r>
        <r>
          <rPr>
            <sz val="9"/>
            <color indexed="81"/>
            <rFont val="Tahoma"/>
            <charset val="1"/>
          </rPr>
          <t xml:space="preserve">
</t>
        </r>
      </text>
    </comment>
    <comment ref="C12" authorId="0">
      <text>
        <r>
          <rPr>
            <b/>
            <sz val="9"/>
            <color indexed="81"/>
            <rFont val="Tahoma"/>
            <charset val="1"/>
          </rPr>
          <t>Se recuerda nuevamente, que esta actividad no quedo dentro del POAI 2017 ni Plan de Acción 2017; Esta acción no fue  creada por V. Academica.</t>
        </r>
      </text>
    </comment>
    <comment ref="C20" authorId="0">
      <text>
        <r>
          <rPr>
            <b/>
            <sz val="9"/>
            <color indexed="81"/>
            <rFont val="Tahoma"/>
            <charset val="1"/>
          </rPr>
          <t>Se recuerda nuevamente, que esta actividad no quedo dentro del POAI 2017 ni Plan de Acción 2017; Esta acción no fue  creada por V. Academica.</t>
        </r>
      </text>
    </comment>
  </commentList>
</comments>
</file>

<file path=xl/comments2.xml><?xml version="1.0" encoding="utf-8"?>
<comments xmlns="http://schemas.openxmlformats.org/spreadsheetml/2006/main">
  <authors>
    <author>Gestión Tec. Infraestructura</author>
    <author>Apoyo Adm. Vicerrectoria</author>
  </authors>
  <commentList>
    <comment ref="J3" authorId="0">
      <text>
        <r>
          <rPr>
            <b/>
            <sz val="9"/>
            <color indexed="81"/>
            <rFont val="Tahoma"/>
            <family val="2"/>
          </rPr>
          <t>Gestión Tec. Infraestructura:</t>
        </r>
        <r>
          <rPr>
            <sz val="9"/>
            <color indexed="81"/>
            <rFont val="Tahoma"/>
            <family val="2"/>
          </rPr>
          <t xml:space="preserve">
2.5 Y 2.6 INVESTIGACIÓN</t>
        </r>
      </text>
    </comment>
    <comment ref="E13" authorId="1">
      <text>
        <r>
          <rPr>
            <b/>
            <sz val="9"/>
            <color indexed="81"/>
            <rFont val="Tahoma"/>
            <family val="2"/>
          </rPr>
          <t>Apoyo Adm. Vicerrectoria:</t>
        </r>
        <r>
          <rPr>
            <sz val="9"/>
            <color indexed="81"/>
            <rFont val="Tahoma"/>
            <family val="2"/>
          </rPr>
          <t xml:space="preserve">
YA FUE IMPLEMENTADA UNIDAD DE EMPRENDIMIENTO E INNOVACIÓN, DEBE DESAPARECER</t>
        </r>
      </text>
    </comment>
    <comment ref="J22" authorId="0">
      <text>
        <r>
          <rPr>
            <b/>
            <sz val="9"/>
            <color indexed="81"/>
            <rFont val="Tahoma"/>
            <family val="2"/>
          </rPr>
          <t>Gestión Tec. Infraestructura:</t>
        </r>
        <r>
          <rPr>
            <sz val="9"/>
            <color indexed="81"/>
            <rFont val="Tahoma"/>
            <family val="2"/>
          </rPr>
          <t xml:space="preserve">
CUANTAS PIEZAS COMUNICATIVAS SE HICIERON: UPI PRENSA, USCO APP, PERIODICO DESDE LA U, RUEDAS DE PRENSA, BOLETINES DE PRENSA, PROGRAMAS PRODUCIDOS Y EMITIDOS, ENTREVISTAS AGORAS, PROGRAMA ÁGORA SURCOLOMBIANA, INFOZOOM</t>
        </r>
      </text>
    </comment>
  </commentList>
</comments>
</file>

<file path=xl/sharedStrings.xml><?xml version="1.0" encoding="utf-8"?>
<sst xmlns="http://schemas.openxmlformats.org/spreadsheetml/2006/main" count="1793" uniqueCount="901">
  <si>
    <t>RECURSOS ASIGNADOS</t>
  </si>
  <si>
    <t>RECURSO EJECUTADO</t>
  </si>
  <si>
    <t>SALDO</t>
  </si>
  <si>
    <t>META DE PRODUCTO</t>
  </si>
  <si>
    <t>TOTAL TRIMESTRE</t>
  </si>
  <si>
    <t>EFICIENCIA</t>
  </si>
  <si>
    <t>EFICACIA</t>
  </si>
  <si>
    <t>EFECTIVIDAD</t>
  </si>
  <si>
    <t>SOPORTES DE ACCIONES REALIZADAS</t>
  </si>
  <si>
    <t>SUBSISTEMA</t>
  </si>
  <si>
    <t>PROYECTO</t>
  </si>
  <si>
    <t>SIGLA</t>
  </si>
  <si>
    <t>ACCIONES</t>
  </si>
  <si>
    <t>RUBRO</t>
  </si>
  <si>
    <t>RESPONSABLE</t>
  </si>
  <si>
    <t>META 2017</t>
  </si>
  <si>
    <t>UNIDAD DE MEDIDA</t>
  </si>
  <si>
    <t>En millones de pesos</t>
  </si>
  <si>
    <t>#</t>
  </si>
  <si>
    <t>%</t>
  </si>
  <si>
    <t>EN PORCENTAJE</t>
  </si>
  <si>
    <t>FORMACION</t>
  </si>
  <si>
    <t>SF-PY1. Identidad con la Teleología Institucional.</t>
  </si>
  <si>
    <t>SF-PY1.1</t>
  </si>
  <si>
    <t>Actividades de Inducción y Reinducción con docentes, estudiantes y Administrativos para promover el conocimiento de la Teleología.</t>
  </si>
  <si>
    <t>V.ACADEMICA
FACECO</t>
  </si>
  <si>
    <t>SF-PY1.2</t>
  </si>
  <si>
    <t>Actividades para promover la Apropiación de la teleología Institucional. (Misión, La Visión, el Proyecto Educativo Institucional PEU).</t>
  </si>
  <si>
    <t>V. ACADÉMICA</t>
  </si>
  <si>
    <t>SF-PY1.3</t>
  </si>
  <si>
    <t>Promoción de la imagen corporativa institucional, portafolio de servicios-oferta académica.</t>
  </si>
  <si>
    <t>V.ACADEMICA</t>
  </si>
  <si>
    <t>SF-PY2. Creación de nueva Oferta Académica en las Sedes.</t>
  </si>
  <si>
    <t>SF-PY2.1</t>
  </si>
  <si>
    <t>Apoyo a la realización de estudios y diseños para la creación de programas de pregrado y postgrados.</t>
  </si>
  <si>
    <t xml:space="preserve">
V.ACADEMICA
FACECO
F.EDUCACION
F.C.J.P.
</t>
  </si>
  <si>
    <t>SF-PY3. Desarrollo Profesoral Permanente en lo Pedagógico, Disciplinar y Profesional.</t>
  </si>
  <si>
    <t>SF-PY3.1</t>
  </si>
  <si>
    <t xml:space="preserve"> Escuela de Formación Pedagógica
(formación y acompañamiento en  Pedagogía, alcance y materialización del PEU y  labor de consejerías) Graduación y Permanencia.</t>
  </si>
  <si>
    <t>DOCENTES</t>
  </si>
  <si>
    <t>SF-PY3.2</t>
  </si>
  <si>
    <t>Capacitación Individual Docente.</t>
  </si>
  <si>
    <t xml:space="preserve">
V.ACADEMICA
F. INGENIERIA
FACECO
F.EDUCACION
</t>
  </si>
  <si>
    <t>SF-PY3.3</t>
  </si>
  <si>
    <t xml:space="preserve"> Interlingua para Docentes.</t>
  </si>
  <si>
    <t>SF-PY3.4</t>
  </si>
  <si>
    <t>Oferta de Cursos Intersemestrales sobre áreas de conocimiento y culturas latinoaméricanas,  formación para la democracia.</t>
  </si>
  <si>
    <t>FACULTADES</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</si>
  <si>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</si>
  <si>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</si>
  <si>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</si>
  <si>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</si>
  <si>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</si>
  <si>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FACECO 
F.EDUCACION
F.C.J.P.</t>
  </si>
  <si>
    <t>PROGRAMAS</t>
  </si>
  <si>
    <t>SF-PY4.2</t>
  </si>
  <si>
    <t>Aprestamiento en Lectura Crítica y Matemática- Plan de Fomento a la Calidad-FASE I-Permanencia y graduación.</t>
  </si>
  <si>
    <t>ESTUDIANTES</t>
  </si>
  <si>
    <t>SF-PY4.3</t>
  </si>
  <si>
    <t>Fortalecimiento de las Competencias Genéricas Saber Pro- Plan de Fomento a la Calidad-FASE I -Permanencia y graduación.</t>
  </si>
  <si>
    <t>SF-PY4.4</t>
  </si>
  <si>
    <t>Consejerías Académicas -Plan de Fomento a la Calidad-FASE I-Permanencia y graduación.</t>
  </si>
  <si>
    <t>PERSONAS</t>
  </si>
  <si>
    <t>SF-PY4.5</t>
  </si>
  <si>
    <t>Apoyo a la Politica de Inclusión-Permanencia y graduación.</t>
  </si>
  <si>
    <t>SF-PY5.  Acreditación de Alta Calidad de la Universidad</t>
  </si>
  <si>
    <t>SF-PY5.1</t>
  </si>
  <si>
    <t>Funcionamiento de la Unidad de Apoyo a los Procesos de Autoevaluación  y Acreditación Institucional.</t>
  </si>
  <si>
    <t>SF-PY5.2</t>
  </si>
  <si>
    <t>Procesos de Autoevaluación y Acreditación Institucional; Capacitaciones  y encuentros para apoyo con Universidades del país.</t>
  </si>
  <si>
    <t>SF-PY5.3</t>
  </si>
  <si>
    <t>Creación de material educativo en formato digital.</t>
  </si>
  <si>
    <t>FACECO</t>
  </si>
  <si>
    <t>SF-PY6. Relevo Generacional con Excelencia Académica.</t>
  </si>
  <si>
    <t>SF-PY6.1</t>
  </si>
  <si>
    <t>Convocatoria Banco Docentes Ocasionales 2017.</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</si>
  <si>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</si>
  <si>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</si>
  <si>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</si>
  <si>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</si>
  <si>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</si>
  <si>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t>
  </si>
  <si>
    <t>SF-PY7.3</t>
  </si>
  <si>
    <t>Mejoramiento de la infraestructura tecnologica para el segumiento a egresados.</t>
  </si>
  <si>
    <t>TOTAL SUBSISTEMA DE FORMACION</t>
  </si>
  <si>
    <t>INVESTIGACION</t>
  </si>
  <si>
    <t>SI-PY1.  Fortalecimiento de las capacidades de investigación, desarrollo e innovación.</t>
  </si>
  <si>
    <t>SI-PY1.1</t>
  </si>
  <si>
    <t>Adquisición  de equipos de laboratorio para investigación.</t>
  </si>
  <si>
    <t>EQUIPOS</t>
  </si>
  <si>
    <t>SI-PY1.2</t>
  </si>
  <si>
    <t xml:space="preserve"> Adquisición y renovación de  licencias software Y bases de datos especializadas  para  actividades de investigaciòn.</t>
  </si>
  <si>
    <t>LICENCIAS</t>
  </si>
  <si>
    <t>SI-PY1.3</t>
  </si>
  <si>
    <t>Apoyo a la formación de alto nivel (Maestrias, doctorados, posdoctorados).</t>
  </si>
  <si>
    <t>TESIS O NUMERO DE DOCENTES APOYADOS</t>
  </si>
  <si>
    <t>SI-PY1.4</t>
  </si>
  <si>
    <t>Fortalecimiento de las capacidades investigativas para la acreditación Institucional</t>
  </si>
  <si>
    <t>PROGRAMA DE PEDAGOGÍA PARA LA INVESTIGACIÓN</t>
  </si>
  <si>
    <t>SI-PY1.5</t>
  </si>
  <si>
    <t>Fortalecimiento  de las capacidades investigativas de grupos de investigación en modalidad Proyectos.</t>
  </si>
  <si>
    <t>EJECUCIÓN DE 20 PROYECTOS DE INVESTIGACIÓN</t>
  </si>
  <si>
    <t>SI-PY2.  Calidad Académica y formación en Investigación.</t>
  </si>
  <si>
    <t>SI-PY2.1</t>
  </si>
  <si>
    <t>Formulación y ejecución de dos talleres para reformular dos currículos.</t>
  </si>
  <si>
    <t>TALLERES</t>
  </si>
  <si>
    <t>SI-PY2.2</t>
  </si>
  <si>
    <t>Taller con experto en Gestión  y apropiación social del conocimiento.</t>
  </si>
  <si>
    <t xml:space="preserve">TALLER </t>
  </si>
  <si>
    <t>SI-PY2.3</t>
  </si>
  <si>
    <t>Acciones  de sensibilización sobre propuestas de investigación en el marco del programa ONDAS.</t>
  </si>
  <si>
    <t>SI-PY2.4</t>
  </si>
  <si>
    <t>Apoyo al desarrollo de los proyectos formulados por los grupos, en el marco del convenio ONDAS.</t>
  </si>
  <si>
    <t>PROYECTOS</t>
  </si>
  <si>
    <t>SI-PY2.5</t>
  </si>
  <si>
    <t>Apoyo a la formulación, ejecución y divulgación de eventos académicos.</t>
  </si>
  <si>
    <t>EVENTOS</t>
  </si>
  <si>
    <t>SI-PY2.6</t>
  </si>
  <si>
    <t>Apoyo a docentes para  realizar ponencias en eventos nacionales e internacionales.</t>
  </si>
  <si>
    <t>PARTICIPACIÓN EN EVENTOS INVESTIGATIVOS</t>
  </si>
  <si>
    <t>SI-PY2.7</t>
  </si>
  <si>
    <t>Consolidación de grupos de Investigación.</t>
  </si>
  <si>
    <t>GRUPOS DE INVESTIGACIÓN CATEGORIZADOS</t>
  </si>
  <si>
    <t>SI-PY2.8</t>
  </si>
  <si>
    <t>Capacitación y participación de la Facultad de Ciencias Jurídicas y Políticas en eventos de formación.</t>
  </si>
  <si>
    <t>SI-PY2.9</t>
  </si>
  <si>
    <t>Apoyo al desarrollo de los Doctorados: Agroindustria y Desarrollo Agricola Sostenible;  Educación y Cultura Ambiental; en Ciencias de la Salud.</t>
  </si>
  <si>
    <t>FINANCIACIÓN DE 3 PROGRAMAS DE DOCTORADO</t>
  </si>
  <si>
    <t>SI-PY3. Calidad Académica y formación a través de la Investigación</t>
  </si>
  <si>
    <t>SI-PY3.1</t>
  </si>
  <si>
    <t>Financiación de proyectos de investigación en modalidad trabajos de grado.</t>
  </si>
  <si>
    <t>SI-PY3.2</t>
  </si>
  <si>
    <t>Financiación de proyectos ejecutados por semilleros de investigación.</t>
  </si>
  <si>
    <t>SI-PY3.3</t>
  </si>
  <si>
    <t>Financiar la vinculación de  jóvenes investigadores.</t>
  </si>
  <si>
    <t>SI-PY4.  Calidad Académica y ejecución de Investigación.</t>
  </si>
  <si>
    <t>SI-PY4.1</t>
  </si>
  <si>
    <t>Financiar proyectos de investigación de convocatorias internas  y externas.</t>
  </si>
  <si>
    <t>SI-PY4.2</t>
  </si>
  <si>
    <t>Apoyo para la consolidación de grupos de investigación.</t>
  </si>
  <si>
    <t>SI-PY5. Calidad Académica y gestión de Investigación.</t>
  </si>
  <si>
    <t>SI-PY5.1</t>
  </si>
  <si>
    <t>Convenios cofinanciados.</t>
  </si>
  <si>
    <t>CONVENIOS</t>
  </si>
  <si>
    <t>SI-PY5.2</t>
  </si>
  <si>
    <t>Gestión de proyectos de investigación en cooperación  regional nacional y/o internacional.</t>
  </si>
  <si>
    <t>BANCO DE PROYECTOS</t>
  </si>
  <si>
    <t>SI-PY5.3</t>
  </si>
  <si>
    <t>Divulgación del conocimiento.</t>
  </si>
  <si>
    <t>SI-PY6.  Articulación del Sistema Integrado de Información (TICS).</t>
  </si>
  <si>
    <t>SI-PY6.1</t>
  </si>
  <si>
    <t>Diseño de aplicativos digitales para divulgación investigación.</t>
  </si>
  <si>
    <t>SI-PY6.2</t>
  </si>
  <si>
    <t>Elaboración y publicación del catálogo y portafolio de productos  Editorial Universidad Surcolombiana.</t>
  </si>
  <si>
    <t>SI-PY6.3</t>
  </si>
  <si>
    <t xml:space="preserve">Adquisión gestores bibliográficos. </t>
  </si>
  <si>
    <t>SI-PY6.4</t>
  </si>
  <si>
    <t>Apoyo para la gestión de la investigación  a traves de membresias (ASEUC, EULAC, ABEC, DOI).</t>
  </si>
  <si>
    <t>SI-PY7.  Evaluación, dotación y consolidación de los Centros de Documentación, archivística y bases de datos.</t>
  </si>
  <si>
    <t>SI-PY7.1</t>
  </si>
  <si>
    <t>Adquisión  base datos especializadas para investigación.</t>
  </si>
  <si>
    <t>SI-PY7.2</t>
  </si>
  <si>
    <t>Apoyo a centro de documentación archivistica.</t>
  </si>
  <si>
    <t>SI-PY8.  Creación y Fortalecimiento de Centros, Institutos de investigación, desarrollo y vigilancia Tecnológica e Innovación.</t>
  </si>
  <si>
    <t>SI-PY8.1</t>
  </si>
  <si>
    <t>Apoyo a la creación y fortalecimiento de centros de investigación y vigilancia tecnológica e innovación.</t>
  </si>
  <si>
    <t>CENTRO TECNOLOGICO DE  LAS TICS</t>
  </si>
  <si>
    <t>SI-PY8.2</t>
  </si>
  <si>
    <t>Apoyo a Proyectos de Investigación ejecutados por los Centros de Desarrollo Tecnológicos.</t>
  </si>
  <si>
    <t>F. SALUD</t>
  </si>
  <si>
    <t>SI-PY9.  Articulación y fortalecimiento de las publicaciones Científicas  y Académicas.</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</si>
  <si>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</si>
  <si>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</si>
  <si>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</si>
  <si>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artìculos cientìficos. </t>
  </si>
  <si>
    <t>CURSO</t>
  </si>
  <si>
    <t>SI-PY9.3</t>
  </si>
  <si>
    <t xml:space="preserve">Evaluación, corrección estilo, diagramación  y publicación de libros en las diferentes modalidades.   </t>
  </si>
  <si>
    <t>SI-PY9.4</t>
  </si>
  <si>
    <t>Gestión para la indexación de revistas institucionales.</t>
  </si>
  <si>
    <t>SE ESTA GESTIONANDO LA INDEXACIÓN DE LAS 6 REVISTAS DE LAS NUEVAS NORMAS PUBLINDEX</t>
  </si>
  <si>
    <t>SI-PY9.5</t>
  </si>
  <si>
    <t>Apoyo a la consolidación de la editorial Surcolombiana y revistas institucionales.</t>
  </si>
  <si>
    <t>REVISTAS (SE ADQUIRIERON LOS DOI Y LA PLATAFORMA OJS</t>
  </si>
  <si>
    <t>SI-PY9.6</t>
  </si>
  <si>
    <t>Fortalecimiento, consolidación y mejoramiento de la calidad editorial de la Revista Jurídica Piélagus.</t>
  </si>
  <si>
    <t>REVISTA</t>
  </si>
  <si>
    <t>PROYECCION SOCIAL</t>
  </si>
  <si>
    <t>SP-PY1.  Internacionalización Académica Curricular y Administrativa.</t>
  </si>
  <si>
    <t>SP-PY1.1</t>
  </si>
  <si>
    <t>Apoyo a la movilidad académica de docentes, estudiantes y personal administrativo y expertos invitados.</t>
  </si>
  <si>
    <t>SP-PY1.2</t>
  </si>
  <si>
    <t>Apoyo a la internacionalización de la investigación y la proyección social.</t>
  </si>
  <si>
    <t>APOYOS (PROFESORES QUE VAN Y HACEN LAS PONENCIAS)</t>
  </si>
  <si>
    <t>SP-PY1.3</t>
  </si>
  <si>
    <t>Apoyo a los procesos y fortalecimiento de alianzas académico-administrativas entre la Universidad y organismos públicos y privados.</t>
  </si>
  <si>
    <t>PARTICIPACION ASAMBLEA VISIBLE ( 3 VECES AL AÑO QUE SE HACE LA ASAMBLEA VISIBLE)</t>
  </si>
  <si>
    <t>SP-PY2.  Regionalización de la USCO</t>
  </si>
  <si>
    <t>SP-PY2.1</t>
  </si>
  <si>
    <t>Apoyo y gestión en acciones, proyectos y eventos para regionalización.</t>
  </si>
  <si>
    <t>SP-PY3. Reformulación y fortalecimiento de las modalidades y formas de Proyección Social.</t>
  </si>
  <si>
    <t>SP-PY3.1</t>
  </si>
  <si>
    <t>Macroproyectos de Proyección social cofinanciados por la Universidad Surcolombiana.</t>
  </si>
  <si>
    <t>MACROPROYECTOS</t>
  </si>
  <si>
    <t>SP-PY3.2</t>
  </si>
  <si>
    <t>Proyectos solidarios de menor cuantía cofinanciados  por la Universidad Surcolombiana.</t>
  </si>
  <si>
    <t>SP-PY3.3</t>
  </si>
  <si>
    <t>Apoyo logístico a proyectos  de Responsabilidad Social Universitaria.</t>
  </si>
  <si>
    <t>PROYECTOS RSU (ACTIVIDADES )</t>
  </si>
  <si>
    <t>SP-PY3.4</t>
  </si>
  <si>
    <t>Apoyos a la realización y participación en  eventos de proyección social.</t>
  </si>
  <si>
    <t>SP-PY3.5</t>
  </si>
  <si>
    <t>Apoyos financieros a la suscripción de convenios interinstitucionales.</t>
  </si>
  <si>
    <t>SP-PY3.6</t>
  </si>
  <si>
    <t>Apoyo a la gestión academico-administrativa de la Proyección Social.</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</si>
  <si>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</si>
  <si>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</si>
  <si>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</si>
  <si>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</si>
  <si>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</si>
  <si>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</si>
  <si>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Implementación y operacionalización de la Unidad de Emprendimiento e Innovación.</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</si>
  <si>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</si>
  <si>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</si>
  <si>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</si>
  <si>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</si>
  <si>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</si>
  <si>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</si>
  <si>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</si>
  <si>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Apoyo a la gestión de proyectos de agenda social.</t>
  </si>
  <si>
    <t>SP-PY6.2</t>
  </si>
  <si>
    <t>Creación y puesta en funcionamiento del Observatorio Regional de Políticas Públicas.</t>
  </si>
  <si>
    <t>SP-PY6.3</t>
  </si>
  <si>
    <t>Creación y puesta en funcionamiento del Instituto de Estudios Surcolombianos.</t>
  </si>
  <si>
    <t>SP-PY6.4</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</si>
  <si>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</si>
  <si>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</si>
  <si>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</si>
  <si>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</si>
  <si>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</si>
  <si>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PROGRAMA</t>
  </si>
  <si>
    <t>SP-PY8. Fortalecimiento del sistema de comunicación e información institucional.</t>
  </si>
  <si>
    <t>SP-PY8.1</t>
  </si>
  <si>
    <t>Elaboracion y puesta en marcha del  Plan estratégico de comunicaciones.</t>
  </si>
  <si>
    <t>SP-PY8.2</t>
  </si>
  <si>
    <t>Renovación Hosting y  elaboración de revista para comunicaciones y divulgación de actividades resultado de proyección social.</t>
  </si>
  <si>
    <t>SP-PY8.3</t>
  </si>
  <si>
    <t>Fortalecimiento de medios audiovisuales institucionales.</t>
  </si>
  <si>
    <t>SP-PY8.4</t>
  </si>
  <si>
    <t>Elaboración de prospectos, revistas e instructivos-publicidad.</t>
  </si>
  <si>
    <t>NUMERO DE PIEZAS DE DIVULGACIÓN</t>
  </si>
  <si>
    <t>BIENESTAR UNIVERSITARIO</t>
  </si>
  <si>
    <t>SB-PY1.   Universidad Saludable.</t>
  </si>
  <si>
    <t>SB-PY1.1</t>
  </si>
  <si>
    <t>Prestación servicio médico a estudiantes en las Sedes</t>
  </si>
  <si>
    <t>BIENESTAR</t>
  </si>
  <si>
    <t>SERVICIOS</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</si>
  <si>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</si>
  <si>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</si>
  <si>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</si>
  <si>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</si>
  <si>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</si>
  <si>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</si>
  <si>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 xml:space="preserve">
F.INGENIERIA</t>
  </si>
  <si>
    <t>SB-PY1.5</t>
  </si>
  <si>
    <t>Remisiones Psiquiatra</t>
  </si>
  <si>
    <t>SB-PY1.6</t>
  </si>
  <si>
    <t>USCO saludable.</t>
  </si>
  <si>
    <t>BENEFICIARIOS</t>
  </si>
  <si>
    <t>SB-PY1.7</t>
  </si>
  <si>
    <t>Proyecto de Inclusión y atención de la población con diversidad funcional en la USCO.</t>
  </si>
  <si>
    <t>Caracterización Población</t>
  </si>
  <si>
    <t>Apoyo tecnológico y académico</t>
  </si>
  <si>
    <t>Acompañamientos a estudiantes</t>
  </si>
  <si>
    <t>Talleres de Sensibilización</t>
  </si>
  <si>
    <t>SB-PY2.  Recreación y Deportes con responsabilidad y compromiso.</t>
  </si>
  <si>
    <t>SB-PY2.1</t>
  </si>
  <si>
    <t>Actividades deportivas de todas las Sedes.</t>
  </si>
  <si>
    <t>ACTIVIDADES</t>
  </si>
  <si>
    <t>SB-PY3. Cultura con responsabilidad y compromiso.</t>
  </si>
  <si>
    <t>SB-PY3.1</t>
  </si>
  <si>
    <t>Puestas Culturales en escena de todas las sedes</t>
  </si>
  <si>
    <t xml:space="preserve">TALLERES </t>
  </si>
  <si>
    <t>GRUPOS</t>
  </si>
  <si>
    <t>SB-PY4. Desarrollo Humano con responsabilidad y compromiso.</t>
  </si>
  <si>
    <t>SB-PY4.1</t>
  </si>
  <si>
    <t xml:space="preserve"> Apoyo a actividades de clima organizacional, docentes, estudiantes y administrativos en las Sedes</t>
  </si>
  <si>
    <t xml:space="preserve">
FACECO
F. EDUCACION
BIENESTAR
</t>
  </si>
  <si>
    <t>Eventos convivencia, integración y reconocimiento</t>
  </si>
  <si>
    <t>SB-PY5.  Desarrollo Socio-Económico con responsabilidad y compromiso.</t>
  </si>
  <si>
    <t>SB-PY5.1</t>
  </si>
  <si>
    <t>SB-PY5.2</t>
  </si>
  <si>
    <t>Atención a población estudiantil en situación de extrema vulnerabilidad en las Sedes.</t>
  </si>
  <si>
    <t>SB-PY5.3</t>
  </si>
  <si>
    <t>Vinculación de estudiantes en procesos institucionales.</t>
  </si>
  <si>
    <t>SB-PY6.  Promoción de la Permanencia y Graduación estudiantil en la Usco.</t>
  </si>
  <si>
    <t>SB-PY6.1</t>
  </si>
  <si>
    <t>Permanencia y graduación estudiantil.</t>
  </si>
  <si>
    <t>TOTAL SUBSISTEMA BIENESTAR UNIVERSITARIO</t>
  </si>
  <si>
    <t>ADMINISTRATIVO</t>
  </si>
  <si>
    <t>SA-PY2.a  Construcción y mantenimiento de las Sedes.</t>
  </si>
  <si>
    <t>SA-PY2a.1</t>
  </si>
  <si>
    <t>Construcción de infraestructura física en todas las Sedes.</t>
  </si>
  <si>
    <t>SA-PY2a.2</t>
  </si>
  <si>
    <t>Adecuaciones, mantenimientos y mejoras en infraestructura de todas las sedes.</t>
  </si>
  <si>
    <t>VIC.ADTIVA.
F. SALUD
F.INGENIERIA
FACECO
F.C.J.P.</t>
  </si>
  <si>
    <t>SA-PY2a.3</t>
  </si>
  <si>
    <t>Avalúos, estudios y diseños de obras civiles varias.</t>
  </si>
  <si>
    <t>VIC.ADTIVA.</t>
  </si>
  <si>
    <t>SA-PY2.b  Desarrollo, dotación y Mantenimiento de las Sedes.</t>
  </si>
  <si>
    <t>SA-PY2b.1</t>
  </si>
  <si>
    <t>Dotación de equipos, accesorios, reactivos e insumos para  laboratorios de todas las Sedes.</t>
  </si>
  <si>
    <t>VIC.ADTIVA.
F.INGENIERIA</t>
  </si>
  <si>
    <t>RECURSOS INVERTIDOS $</t>
  </si>
  <si>
    <t>SA-PY2b.2</t>
  </si>
  <si>
    <t>Dotación de muebles y equipos de oficinas para todas las Sedes.</t>
  </si>
  <si>
    <t>VIC.ADTIVA.
F. SALUD 
FACECO
F.EDUCACIÓN
F.C.S.H.
F.C.J.P.</t>
  </si>
  <si>
    <t>SA-PY2b.3</t>
  </si>
  <si>
    <t>Adquisición bibliografía.</t>
  </si>
  <si>
    <t xml:space="preserve">
VIC.ADTIVA.
F. SALUD
F. INGENIERÍA
FACECO
F. EDUCACIÓN
F.C.S.H
F.C.J.P.
</t>
  </si>
  <si>
    <t>SA-PY2b.4</t>
  </si>
  <si>
    <t xml:space="preserve"> Mantenimiento de Equipos de Laboratorio,  Muebles, accesorios y equipos de Oficina de todas las sedes.</t>
  </si>
  <si>
    <t>VIC.ADTIVA.
FACECO
F.C.J.P.</t>
  </si>
  <si>
    <t>SA-PY2b.5</t>
  </si>
  <si>
    <t>Dotación de elementos de aseo y cafetería.</t>
  </si>
  <si>
    <t xml:space="preserve">
F. SALUD
F.EDUCACION
</t>
  </si>
  <si>
    <t>SA-PY2b.6</t>
  </si>
  <si>
    <t>Dotación, renovación de Software y licencias.</t>
  </si>
  <si>
    <t>F.EDUCACION
F. SALUD
F.C. EXACTAS</t>
  </si>
  <si>
    <t>SA-PY2b.7</t>
  </si>
  <si>
    <t>Contratación personal para mantenimiento CTIC.</t>
  </si>
  <si>
    <t>VIC.ADTIVA.
FACECO</t>
  </si>
  <si>
    <t>Proyecto SA-PY2c. Desarrollo Proyectos Institucionales</t>
  </si>
  <si>
    <t>SA-PY2c.1</t>
  </si>
  <si>
    <t xml:space="preserve">Implementación  plataforma LCMS en la Usco para aumentar la tasa de cobertura bruta en la educación superior en el Departamento del Huila”, </t>
  </si>
  <si>
    <t>520-2</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</si>
  <si>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</si>
  <si>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</si>
  <si>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</si>
  <si>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</si>
  <si>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</si>
  <si>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</si>
  <si>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</si>
  <si>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Afiliación y Auditoría de seguimiento de la Certificación ISO 9001:2008 NTCGP 1000:2009.</t>
  </si>
  <si>
    <t>SA-PY3.4</t>
  </si>
  <si>
    <t xml:space="preserve"> Gestión de la estructura academico-administrativa y financiera.</t>
  </si>
  <si>
    <t>SA-PY5.  Reestructuración Organizacional académica y administrativa.</t>
  </si>
  <si>
    <t>SA-PY5.1</t>
  </si>
  <si>
    <t>Elaboración de estudio de factibilidad ténico-financiero de la modernización académico administrativa.</t>
  </si>
  <si>
    <t>VIC. ADTIVA.</t>
  </si>
  <si>
    <t>ESTUDIO IMPLEMENTACIÓN</t>
  </si>
  <si>
    <t>SA-PY7. Formación y Capacitación al Personal Administrativo y Operativo.</t>
  </si>
  <si>
    <t>SA-PY7.1</t>
  </si>
  <si>
    <t>Ejecución Plan de Capacitación para el personal Administrativo y de Trabajadores Oficiales.</t>
  </si>
  <si>
    <t>VIC.ADTIVA.
F.INGENIERIA
F. EDUCACIÓN</t>
  </si>
  <si>
    <t>TOTAL SUBSISTEMA ADMINISTRATIVO</t>
  </si>
  <si>
    <t>UNIVERSIDAD SURCOLOMBIANA</t>
  </si>
  <si>
    <t>OFICINA DE PLANEACIÓN</t>
  </si>
  <si>
    <t>SEGUIMIENTO AL PLAN DE DESARROLLO</t>
  </si>
  <si>
    <t>CODIGO</t>
  </si>
  <si>
    <t>ES-PLA-FO-04</t>
  </si>
  <si>
    <t>VERSION</t>
  </si>
  <si>
    <t>VIGENCIA</t>
  </si>
  <si>
    <t>SISTEMA ADMINISTRATIVO</t>
  </si>
  <si>
    <t>FECHA DEL INFORME</t>
  </si>
  <si>
    <t>SISTEMA FORMACION</t>
  </si>
  <si>
    <t>SISTEMA BIENESTAR</t>
  </si>
  <si>
    <t>SI-PY3.4</t>
  </si>
  <si>
    <t>Capacitación y Desarrollo de talleres para la formación de la investigación.</t>
  </si>
  <si>
    <t>SP-PY5.3</t>
  </si>
  <si>
    <t>Atención apersonas en drogadicción, prostitución y E.T.V.  en las Sedes.</t>
  </si>
  <si>
    <t xml:space="preserve">SA-PY1.1 </t>
  </si>
  <si>
    <t>SA-PY1.2</t>
  </si>
  <si>
    <t>SA-PY1.3</t>
  </si>
  <si>
    <t>POLITICA</t>
  </si>
  <si>
    <t>PORCENTAJE</t>
  </si>
  <si>
    <t xml:space="preserve">SUBSITEMA DE FORMACIÓN </t>
  </si>
  <si>
    <t xml:space="preserve">PROYECTO </t>
  </si>
  <si>
    <t>PESO PORCENTUAL PROYECTO</t>
  </si>
  <si>
    <t>ACCIÓN</t>
  </si>
  <si>
    <t xml:space="preserve">% CUMPLIENTO POR ACCIÓN </t>
  </si>
  <si>
    <t xml:space="preserve">EFICACIA X PROYECTO </t>
  </si>
  <si>
    <t>EFICIENCIA X PROYECTO</t>
  </si>
  <si>
    <t xml:space="preserve">CUMPLIMIENTO DEL SUBSISTEMA DE FORMACION </t>
  </si>
  <si>
    <t>SUBSISTEMA DE FORMACIÓN</t>
  </si>
  <si>
    <t>PLAN DE DESARROLLO INSTITUCIONAL</t>
  </si>
  <si>
    <t>SUBSITEMA DE INVESTIGACIÓN</t>
  </si>
  <si>
    <t xml:space="preserve">CUMPLIMIENTO DEL SUBSISTEMA DE INVESTIGACIÓN </t>
  </si>
  <si>
    <t>SUBSISTEMA DE INVESTIGACIÓN</t>
  </si>
  <si>
    <t>SEMÁFORO</t>
  </si>
  <si>
    <t>ESTADO DE AVANCE</t>
  </si>
  <si>
    <t>INTERPRETACIÓN</t>
  </si>
  <si>
    <t>Menor a 9%</t>
  </si>
  <si>
    <t>Se ha avanzado muy poco o nada en este indicador</t>
  </si>
  <si>
    <t>Mayor o igual a 9% y menor a 20%</t>
  </si>
  <si>
    <t>Nivel aceptable del indicador</t>
  </si>
  <si>
    <t>Mayor o igual a 20% y menor que 25%</t>
  </si>
  <si>
    <t>Nivel del indicador que cumple las expectativas</t>
  </si>
  <si>
    <t>25% o más</t>
  </si>
  <si>
    <t>Nivel del indicador que satisface y supera las expectativas</t>
  </si>
  <si>
    <t>Subsis-tema</t>
  </si>
  <si>
    <t>Proyectos</t>
  </si>
  <si>
    <t>Acciones</t>
  </si>
  <si>
    <t>Línea de Base</t>
  </si>
  <si>
    <t>Meta de Resultado</t>
  </si>
  <si>
    <t>Metas de Producto (%)</t>
  </si>
  <si>
    <t>FORMACIÓN</t>
  </si>
  <si>
    <t>PY.1 Identidad con la teleología institucional</t>
  </si>
  <si>
    <t>Actividade de Inducción y Reinducción con estudiantes, profesores y administrativos.</t>
  </si>
  <si>
    <t>PY. 2 Creación de nueva oferta académica en las Sedes</t>
  </si>
  <si>
    <t>Pregrado</t>
  </si>
  <si>
    <t>Maestría</t>
  </si>
  <si>
    <t>Doctorado</t>
  </si>
  <si>
    <t>PY.3  Desarrollo profesoral permanente en lo pedagógico, disciplinar y profesional</t>
  </si>
  <si>
    <t>maestría</t>
  </si>
  <si>
    <t>capacitación en estrategias pedagógicas</t>
  </si>
  <si>
    <t xml:space="preserve">PY.4 Autoevaluación permanente  de programas de pregrado y postgrado </t>
  </si>
  <si>
    <t>pregrados</t>
  </si>
  <si>
    <t>postgrados</t>
  </si>
  <si>
    <t>PY.5 Acreditación de alta calidad de la Universidad</t>
  </si>
  <si>
    <t>Alistamiento de la USCO como Sistema en todos sus componentes</t>
  </si>
  <si>
    <t>PY.6 Relevo generacional con excelencia académica</t>
  </si>
  <si>
    <t>Graduados con identificación de potencial</t>
  </si>
  <si>
    <t>PY. 9 Fortalecimiento de los vínculos universidad - egresados</t>
  </si>
  <si>
    <t>Apoyar la realización de eventos y actividades de interacción e integración con egresados</t>
  </si>
  <si>
    <t>Metas Anuales</t>
  </si>
  <si>
    <t>Subsistema</t>
  </si>
  <si>
    <t>INVESTIGACIÓN</t>
  </si>
  <si>
    <t>PY.1 Fortalecimiento de las capacidades de investigación, desarrollo e innovación</t>
  </si>
  <si>
    <t>Adquisición, mantenimiento y repotenciación de equipos especializados para investigación</t>
  </si>
  <si>
    <t>Adquisición y renovación licenciamientos  software especializado para investigación</t>
  </si>
  <si>
    <t xml:space="preserve">Finalización de tesis de maestrias, doctorados,postdoctorados;  pasantías y estancias internacionales para investigación. </t>
  </si>
  <si>
    <t>PY.2 Calidad Académica y formación en Investigación</t>
  </si>
  <si>
    <t>Talleres de evaluación y reformulación de microcurrículos</t>
  </si>
  <si>
    <t xml:space="preserve">Gestión y apoyo para la calidad académica y formación en investigación </t>
  </si>
  <si>
    <t>Sensibilización y acciones conjuntas en proyectos de investigación ONDAS</t>
  </si>
  <si>
    <t>Formulación y ejecución de proyectos articulados GRUPOS - PROGRAMA ONDAS</t>
  </si>
  <si>
    <t>Desarrollo de eventos académicos</t>
  </si>
  <si>
    <t>Capacitación y participación en eventos, investigadores USCO en proceso de formación</t>
  </si>
  <si>
    <t>PY.3 Calidad Académica y formación a través de la Investigación</t>
  </si>
  <si>
    <t>Proyectos de investigación en la modalidad de trabajos de grado</t>
  </si>
  <si>
    <t>Proyectos de investigación ejecutados por Semilleros de investigación</t>
  </si>
  <si>
    <t>Financiar la vinculación de jóvenesinvestigadores adscritos a grupos de investigación</t>
  </si>
  <si>
    <t>PY.4 Calidad Académica y ejecución de Investigación</t>
  </si>
  <si>
    <t xml:space="preserve">Financiar la ejecución de proyectos de investigación </t>
  </si>
  <si>
    <t>Gestión y apoyo a la ejecución de proyectos de investigación</t>
  </si>
  <si>
    <t xml:space="preserve">PY.5 Calidad Académica y gestión de Investigación </t>
  </si>
  <si>
    <t>Convenios cofinanciados</t>
  </si>
  <si>
    <t>PY.6 Articulación del Sistema Integrado de Información (TICs)</t>
  </si>
  <si>
    <t>Desarrollo aplicativo para gestión en investigación</t>
  </si>
  <si>
    <t xml:space="preserve">Gestión y apoyo para el desarrollo del aplicativo en gestión </t>
  </si>
  <si>
    <t xml:space="preserve">PY.7 Evaluación, dotación y consolidación de los Centros de Documentación, archivística y bases de datos  </t>
  </si>
  <si>
    <t>Adquisición o renovación bases de datos especializadas</t>
  </si>
  <si>
    <t>PY.8 Creación de Centros, Institutos de investigación, desarrollo Tecnológico e Innovación</t>
  </si>
  <si>
    <t>Fortalecimiento y creación de Centros de Investigación</t>
  </si>
  <si>
    <t>PY.9 Fortalecimiento  de las publicaciones científicas  y académicas de la Universidad.</t>
  </si>
  <si>
    <t>evaluación de articulos, diseño, diagramación, impresión  y publicación de revistas institucionales</t>
  </si>
  <si>
    <t>Curso - talleres en preparacion de libros de investigacion y articulos para revistas indexadas.</t>
  </si>
  <si>
    <t>evaluación, diseño, diagramación, impresión  y publicación de libros en las diferentes modalidades</t>
  </si>
  <si>
    <t>Gestión para el diseño, diagramación y publicación de revistas institucionales y libros</t>
  </si>
  <si>
    <t>PY. 1 Internacionalización Académica, Curricular y Administrativa</t>
  </si>
  <si>
    <t>Fomento y consolidación de la cultura de la internacionalización</t>
  </si>
  <si>
    <t>Apoyo para la Internacionalización de los  curriculos</t>
  </si>
  <si>
    <t>Apoyo a la movilidad académica de Docentes, Estudiantes y Personal Administrativo</t>
  </si>
  <si>
    <t>Apoyo a la internacionalización de la Investigación y la Proyección Social</t>
  </si>
  <si>
    <t>PY. 2 Regionalización de la Usco</t>
  </si>
  <si>
    <t>Implementación de la estratégia de regionalización de la Universidad</t>
  </si>
  <si>
    <t>PY. 3 Reformulación y fortalecimiento de las modalidades y formas de Proyección Social</t>
  </si>
  <si>
    <t>Macroproyectos de Proyección Social cofinanciados por la Universidad Surcolombiana</t>
  </si>
  <si>
    <t>Proyectos Solidarios de menor cuantia cofinanciados por la Universidad Surcolombiana</t>
  </si>
  <si>
    <t>Apoyo lógistico a actividades de Responsabilidad Social Universitaria</t>
  </si>
  <si>
    <t xml:space="preserve">Apoyo a la realización de eventos de Proyección Social </t>
  </si>
  <si>
    <t>Apoyo cursos de Formación continuada a egresados</t>
  </si>
  <si>
    <t>Apoyo financiero a la suscripción de convenios interinstitucionales</t>
  </si>
  <si>
    <t>Apoyo anual para el fortalecimiento y consolidación del Programa de Gestión Tecnológica</t>
  </si>
  <si>
    <t>PY. 4 Estructuración y desarrollo de las Unidades de Atención Especializada y de Emprendimiento e Innovación Institucional</t>
  </si>
  <si>
    <t>Implementación y operacionalización de la Unidad de Emprendimiento e Innovación</t>
  </si>
  <si>
    <t>PY. 5 Consolidación de la Alianza Estratégica Estado-Universidad-Empresa-Ciudadanía</t>
  </si>
  <si>
    <t>Proyectos Universidad, Empresa, Estado, Sociedad, financiados y cofinanciados por la Universidad</t>
  </si>
  <si>
    <t>Apoyo a la cofinanciación de proyectos de la alianza Universidad, Empresa, Estado, Sociead</t>
  </si>
  <si>
    <t>PY. 6 Estructuración y Desarrollo de la Agenda Social Regional</t>
  </si>
  <si>
    <t>1 Documento de acuerdos y compromisos de actores sociales con propuestas de políticas públicas del departamento del Huila</t>
  </si>
  <si>
    <t>Creación y puesta en funcionamiento de del Observatorio de medios sobre políticas públicas</t>
  </si>
  <si>
    <t xml:space="preserve">1 Proyecto de Acuerdo por medio del cual se crea el instituto de Estudios Surcolombianos </t>
  </si>
  <si>
    <t>PY. 7 Articulación de la Educación Superior con la Educación Media, el trabajo y el desarrollo humano</t>
  </si>
  <si>
    <t>Apoyo a los procesos de integración de la Educación Superior con la Educación Media, el trabajo y el desarrollo humano</t>
  </si>
  <si>
    <t>Programas de formación para el trabajo y el desarrollo humano con procesos de interacción de la Educación Superior con la Educación Media</t>
  </si>
  <si>
    <t>PY. 8 Fortalecimiento del sistema de comunicación e información institucional</t>
  </si>
  <si>
    <t>Plan Estratégico de Comunicaciones</t>
  </si>
  <si>
    <t>Manual de Identidad de Imagen de la USCO</t>
  </si>
  <si>
    <t>100% Cambio de marca Institucional</t>
  </si>
  <si>
    <t>Hosting y Dominio</t>
  </si>
  <si>
    <t>Fortalecimiento de medios audiovisuales institucionales</t>
  </si>
  <si>
    <t>BIENESTAR   UNIVERSITARIO</t>
  </si>
  <si>
    <t>PY. 1  Universidad Saludable</t>
  </si>
  <si>
    <t>Consultas de servicio médico</t>
  </si>
  <si>
    <t>consultas odontológicas</t>
  </si>
  <si>
    <t>consultas psicológicas</t>
  </si>
  <si>
    <t>Actividades de Higiene y seguridad industrial</t>
  </si>
  <si>
    <t>Actividades de Preventivas</t>
  </si>
  <si>
    <t>Salud ocupacional</t>
  </si>
  <si>
    <t>PY. 2  Recreación y Deportes con responsabilidad y compromiso</t>
  </si>
  <si>
    <t>Deporte y recreación (cobertura por servicios prestados)</t>
  </si>
  <si>
    <t>Beneficiarios de actividades deportivas</t>
  </si>
  <si>
    <t>Actividades deportivas</t>
  </si>
  <si>
    <t>PY. 3 Cultura con responsabilidad y compromiso</t>
  </si>
  <si>
    <t>Extensión cultural - Eventos</t>
  </si>
  <si>
    <t>Extensión cultural - número de participantes</t>
  </si>
  <si>
    <t>Talleres de formación</t>
  </si>
  <si>
    <t>Grupos artísticos</t>
  </si>
  <si>
    <t>PY. 4  Desarrollo Humano con responsabilidad y compromiso</t>
  </si>
  <si>
    <t>Eventos y sesiones relacionadas con el clima organizacional</t>
  </si>
  <si>
    <t>PY. 5  Desarrollo Socio-Económico con responsabilidad y compromiso</t>
  </si>
  <si>
    <t>Estudios socioeconómicos</t>
  </si>
  <si>
    <t>Servicio de restaurante Neiva (desayuno, almuerzo y cena)</t>
  </si>
  <si>
    <t>Servicio de restaurante sedes (merienda)</t>
  </si>
  <si>
    <t>Inclusión estudiantil - apoyo económico a estudiantes de pregrado MEN</t>
  </si>
  <si>
    <t>Apoyo socioeconómico a estudiantes de pregrado</t>
  </si>
  <si>
    <t>Inclusión estudiantil - apoyo económico a estudiantes de postgrado</t>
  </si>
  <si>
    <t>PY. 6  Promoción de la Permanencia y Graduación estudiantil en la Usco</t>
  </si>
  <si>
    <t>Número de estudiantes Activos</t>
  </si>
  <si>
    <t>PY.1  Revisión, reforma y actualización de la plataforma jurídico-normativa institucional.</t>
  </si>
  <si>
    <t xml:space="preserve">Revisión y ajuste de normativa institucional acorde a las normas nacionales  </t>
  </si>
  <si>
    <t xml:space="preserve">PY.2  Desarrollo, construcción, dotación y mantenimiento de las Sedes </t>
  </si>
  <si>
    <t>Edificios modernos o No Patrimoniales</t>
  </si>
  <si>
    <t>Zonas deportivas, senderos, y zonas de esparcimiento</t>
  </si>
  <si>
    <t>Planta física adecuada para personal discapacitado</t>
  </si>
  <si>
    <t>Edificaciones adecuadas con normas de sismo resistencia</t>
  </si>
  <si>
    <t>Mantenimiento Infraestructura Física</t>
  </si>
  <si>
    <t>Internet</t>
  </si>
  <si>
    <t>Redes de voz y datos cableada</t>
  </si>
  <si>
    <t>Redes de voz y datos inalámbrica</t>
  </si>
  <si>
    <t>Equipos de computo (Docentes)</t>
  </si>
  <si>
    <t>Equipos de computo (Estudiantes)</t>
  </si>
  <si>
    <t>Aulas con tecnología audiovisual</t>
  </si>
  <si>
    <t>Equipos de Laboratorio</t>
  </si>
  <si>
    <t>Recursos Bibliográficos (libros)</t>
  </si>
  <si>
    <t>Recursos Bibliográficos (Bases de datos)</t>
  </si>
  <si>
    <t>100% actualizadas</t>
  </si>
  <si>
    <t>Dotación de aulas</t>
  </si>
  <si>
    <t>Sistema de Gestión de la Calidad</t>
  </si>
  <si>
    <t>Sistema de Gestión Ambiental</t>
  </si>
  <si>
    <t>Equipos de computo adtivos.</t>
  </si>
  <si>
    <t xml:space="preserve">Mantenimiento de Equipos </t>
  </si>
  <si>
    <t>Seguridad electrónica</t>
  </si>
  <si>
    <t>Dotación oficinas</t>
  </si>
  <si>
    <t>Formación y Capacitación al personal administrativo y Operativo</t>
  </si>
  <si>
    <t>PY. 3 Aseguramiento de los Sistemas de Gestión de Calidad y Gestión Ambiental</t>
  </si>
  <si>
    <t>Apoyo al proceso de mejoramiento continuo y de Acreditación Institucional</t>
  </si>
  <si>
    <t>PY. 4 Creación del Grupo de Proyectos Institucionales Especiales (GPIE)</t>
  </si>
  <si>
    <t>Conformación y consolidación del GPIE</t>
  </si>
  <si>
    <t>PY 5.  Reestructuración Organizacional académica y administrativa</t>
  </si>
  <si>
    <t>Conformación y operación del Comité de Reestructuración.</t>
  </si>
  <si>
    <t>Estudio y propuesta del Proyecto</t>
  </si>
  <si>
    <t>Implementación de la Regulación normativa interna de la reestructuración.</t>
  </si>
  <si>
    <t>PY.6  Desconcentración y delegación de los procesos administrativos y académicos</t>
  </si>
  <si>
    <t>Normas que permitan desconcentración y delegación</t>
  </si>
  <si>
    <t>PY. 7 Formación y Capacitación del Personal Administrativo y Operativo</t>
  </si>
  <si>
    <t>Capacitaciones al personal administrativo y operativo en asuntos tendientes a la acreditación institucional</t>
  </si>
  <si>
    <t>Menor a 16%</t>
  </si>
  <si>
    <t>Mayor o igual a 16% y menor a 37%</t>
  </si>
  <si>
    <t>Mayor o igual a 37% y menor que 50%</t>
  </si>
  <si>
    <t>50% o más</t>
  </si>
  <si>
    <t>Menor a 25%</t>
  </si>
  <si>
    <t>Mayor o igual a 25% y menor a 56%</t>
  </si>
  <si>
    <t>Mayor o igual a 56% y menor que 74%</t>
  </si>
  <si>
    <t>75% o más</t>
  </si>
  <si>
    <t>Menor a 33%</t>
  </si>
  <si>
    <t>Mayor o igual a 34% y menor a 75%</t>
  </si>
  <si>
    <t>Mayor o igual a 76% y menor que 99%</t>
  </si>
  <si>
    <t>100% o más</t>
  </si>
  <si>
    <t>Sin meta para el 2015</t>
  </si>
  <si>
    <t>Acción sin meta en el PDI para el 2015</t>
  </si>
  <si>
    <t>PY1</t>
  </si>
  <si>
    <t>PY2</t>
  </si>
  <si>
    <t>PY3</t>
  </si>
  <si>
    <t>PY4</t>
  </si>
  <si>
    <t>PY5</t>
  </si>
  <si>
    <t>PY7</t>
  </si>
  <si>
    <t>Rojo</t>
  </si>
  <si>
    <t>Amarillo</t>
  </si>
  <si>
    <t>Verde</t>
  </si>
  <si>
    <t>Azul</t>
  </si>
  <si>
    <t>Total</t>
  </si>
  <si>
    <t>Recursos Asignados</t>
  </si>
  <si>
    <t>Recursos Ejecutados</t>
  </si>
  <si>
    <t>PY6</t>
  </si>
  <si>
    <t>RESULTADO TRIMESTRE</t>
  </si>
  <si>
    <t>TRIMESTRE 2</t>
  </si>
  <si>
    <t>TRIMESTRE 1</t>
  </si>
  <si>
    <t>PY8</t>
  </si>
  <si>
    <t>SI-PY1.7</t>
  </si>
  <si>
    <t>PROMEDIO</t>
  </si>
  <si>
    <t xml:space="preserve">EFICACIA  </t>
  </si>
  <si>
    <t xml:space="preserve">EFICIENCIA $ </t>
  </si>
  <si>
    <t>EFICIENCIA   $</t>
  </si>
  <si>
    <t xml:space="preserve">EFICIENCIA $  </t>
  </si>
  <si>
    <t>ENERO</t>
  </si>
  <si>
    <t>FEBRERO</t>
  </si>
  <si>
    <t>MARZO</t>
  </si>
  <si>
    <t>SB-PY1.8</t>
  </si>
  <si>
    <t>Talleres de Formación</t>
  </si>
  <si>
    <t>Grupos Artísticos</t>
  </si>
  <si>
    <t>Presupuesto Incial</t>
  </si>
  <si>
    <t>RUBLO</t>
  </si>
  <si>
    <t>Total Asignado</t>
  </si>
  <si>
    <t>SF-PY1</t>
  </si>
  <si>
    <t>SF-PY2</t>
  </si>
  <si>
    <t>SF-PY3</t>
  </si>
  <si>
    <t>SF-PY4</t>
  </si>
  <si>
    <t>SF-PY5</t>
  </si>
  <si>
    <t>SF-PY6</t>
  </si>
  <si>
    <t>SF-PY7</t>
  </si>
  <si>
    <t>Proyecto</t>
  </si>
  <si>
    <t>Asignado</t>
  </si>
  <si>
    <t>Ejecutado</t>
  </si>
  <si>
    <t>Saldo</t>
  </si>
  <si>
    <t>TOTAL</t>
  </si>
  <si>
    <t>1 Trimestre Subsistema Investigación</t>
  </si>
  <si>
    <t>1 Trimestre Subsistema Adminsitrativo</t>
  </si>
  <si>
    <t>SI-PY1</t>
  </si>
  <si>
    <t>SI-PY2</t>
  </si>
  <si>
    <t>SI-PY3</t>
  </si>
  <si>
    <t>SI-PY4</t>
  </si>
  <si>
    <t>SI-PY5</t>
  </si>
  <si>
    <t>SI-PY6</t>
  </si>
  <si>
    <t>SI-PY7</t>
  </si>
  <si>
    <t>SI-PY8</t>
  </si>
  <si>
    <t>SI-PY9</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</si>
  <si>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</si>
  <si>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</si>
  <si>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</si>
  <si>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</si>
  <si>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</si>
  <si>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</si>
  <si>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</si>
  <si>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</si>
  <si>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</si>
  <si>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</si>
  <si>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SP-PY1</t>
  </si>
  <si>
    <t>SP-PY2</t>
  </si>
  <si>
    <t>SP-PY3</t>
  </si>
  <si>
    <t>SP-PY4</t>
  </si>
  <si>
    <t>SP-PY5</t>
  </si>
  <si>
    <t>SP-PY6</t>
  </si>
  <si>
    <t>SP-PY7</t>
  </si>
  <si>
    <t>SP-PY8</t>
  </si>
  <si>
    <t>1 Trimestre Subsistema Proyección Social</t>
  </si>
  <si>
    <t>1 Trimestre Subsistema Bienestar</t>
  </si>
  <si>
    <t>Actividades Culturales de todas las Sedes.</t>
  </si>
  <si>
    <t>Prestación de servicio de restaurante a los estudiantes en las Sedes.</t>
  </si>
  <si>
    <t>SB-PY1</t>
  </si>
  <si>
    <t>SB-PY2</t>
  </si>
  <si>
    <t>SB-PY3</t>
  </si>
  <si>
    <t>SB-PY4</t>
  </si>
  <si>
    <t>SB-PY5</t>
  </si>
  <si>
    <t>SB-PY6</t>
  </si>
  <si>
    <t>1 Trimestre Subsistema Administrativo</t>
  </si>
  <si>
    <t>SA-PY2a</t>
  </si>
  <si>
    <t>SA-PY2b</t>
  </si>
  <si>
    <t>SA-PY2c</t>
  </si>
  <si>
    <t>SA-PY3</t>
  </si>
  <si>
    <t>SA-PY5</t>
  </si>
  <si>
    <t>SA-PY7</t>
  </si>
  <si>
    <t>2 Trimestre Subsistema Investigación</t>
  </si>
  <si>
    <t>2 Trimestre Subsistema Proyección Social</t>
  </si>
  <si>
    <t>1 Adicion R 031/2017</t>
  </si>
  <si>
    <t>Tralado</t>
  </si>
  <si>
    <t>2 Adicion R 062</t>
  </si>
  <si>
    <t>Traslado</t>
  </si>
  <si>
    <t>Sub Sistema</t>
  </si>
  <si>
    <t>SF</t>
  </si>
  <si>
    <t>SI</t>
  </si>
  <si>
    <t>SP</t>
  </si>
  <si>
    <t>SB</t>
  </si>
  <si>
    <t>SA</t>
  </si>
  <si>
    <t>PRIMER TRIMESTRE</t>
  </si>
  <si>
    <t>1 Adicion R 095</t>
  </si>
  <si>
    <t>Excedentes Facultades</t>
  </si>
  <si>
    <t>Excedentes Cnaturales</t>
  </si>
  <si>
    <t>Excedentes Salud</t>
  </si>
  <si>
    <t>SA-PY 1.1</t>
  </si>
  <si>
    <t>Excedentes Educación</t>
  </si>
  <si>
    <t>Excedentes USCO</t>
  </si>
  <si>
    <t>Excedentes Dactorados</t>
  </si>
  <si>
    <t>Creditos</t>
  </si>
  <si>
    <t>Contracreditos</t>
  </si>
  <si>
    <t>Estrategia de integración al postconflicto desde la salud regional.</t>
  </si>
  <si>
    <t>Creditos Excedentes Facultad</t>
  </si>
  <si>
    <t>Contracerdito Excedentes Facultad</t>
  </si>
  <si>
    <t>SF-PY6.2</t>
  </si>
  <si>
    <t>Evaluar y reformar la actual política de relevo generacional con base en criterios de excelencia académica, edad, otros (Documento aprobado). Proceso Acreditación.</t>
  </si>
  <si>
    <t>2 Trimestre Subsistema Bienestar</t>
  </si>
  <si>
    <t>Promedio</t>
  </si>
  <si>
    <t>Ejecución</t>
  </si>
  <si>
    <t>PY9</t>
  </si>
  <si>
    <t>2 Trimestre Subsistema Formación</t>
  </si>
  <si>
    <t xml:space="preserve">2 Trimestre </t>
  </si>
  <si>
    <t xml:space="preserve">OCTUBRE </t>
  </si>
  <si>
    <t>NOVIEMBRE</t>
  </si>
  <si>
    <t xml:space="preserve">DICIEMBRE </t>
  </si>
  <si>
    <t xml:space="preserve">CUARTO TRIMESTRE </t>
  </si>
  <si>
    <t xml:space="preserve">NOVIEMBRE </t>
  </si>
  <si>
    <t>DICIEMBRE</t>
  </si>
  <si>
    <t>REFORMA</t>
  </si>
  <si>
    <t>En ejecución presupuest</t>
  </si>
  <si>
    <t xml:space="preserve">1. ELABORACIÓN DE ARTÍCULO PARA PERIÓDICO: UPI PRENSA: La Vicerrectoría Académica realizó un artículo periodístico para el periódico Opa Noticias. Nombre del artículo: El Taller “SOY SURCOLOMBIANO” Una estrategia para generar apropiación de la Teleología Institucional. Extensión.
2. INFORME PARA RECTORÍA PY (TALLERES DE APROPIACIÓN): En el marco del Proyecto de Apropiación de la Teleología Institucional, la Universidad Surcolombiana ha desarrollado distintas estrategias que generan apropiación y sentido de pertenencia con los ejes misionales de la Universidad. Entre estas actividades se encuentran las actividades de inducción y reinducción, talleres de capacitación y estrategias de apropiación dirigidas a estudiantes, docentes, y administrativos de le nuestra casa de estudios.  Todas estas estrategias hacen parte de las actividades desarrolladas por la Vicerrectoría académica para dar cumplimiento a las tareas del Plan de Desarrollo Institucional y responder a una de las necesidades evidenciadas como macro problemas de nuestra Universidad: La apropiación de la dimensión teleológica. ACUERDO NUMERO 031 DE 2014 (12 de diciembre) "Por medio del cual se aprueba el Plan de Desarrollo Institucional (PDI) para el decenio comprendido entre los años 2015 y 2024". OCT, NOV, DIC.
3. CAMPAÑA DE APROPIACIÓN DE LA TELEOLOGÍA EN LOS SALONES: Una de las estrategias del proyecto fue ubicar material visual como estrategias comunicativas de divulgación del contenido teleológico de la Universidad Surcolombiana, estas piezas visuales (STIKER) fueron ubicadas en la esquina superior derecha de los tableros acrílicos de la Universidad Surcolombiana.
</t>
  </si>
  <si>
    <t xml:space="preserve">1. LOGÍSTICA FERIA DE LA SURCOLOMBIANIDAD/NEIVA 2017: La FERIA DE LA SURCOLOMBIANIDAD 2017 en la ciudad de Neiva dirigida a estudiantes de todas las I.E. de la ciudad de Neiva zonas cercanas. Soporte: Listados de asistencia, registro fotográfico, Informe y producto audiovisual. 
2. PARTICIPACIÓN EN FERIA EXPO-HUILA 2017: Durante la realización EXPOHUILA, la Vicerrectoría Académica brindo acompañamiento a las demás delegaciones y responsables de la participación en esta importante feria de la región. La Vicerrectoría Académica llevo al recinto de la Feria todos los folletos de la Oferta Académica de nuestra casa de estudios. TOTAL PERSONAS ATENDIDAS: 300. OCTUBRE 2017.
3. PROMOCIÓN OFERTA ACADÉMICA / AGRADO, GIGANTE, RIVERA, CAMPOALEGRE (HUILA): La Vicerrectoría Académica se desplazó hasta los municipios mencionados con el fin de desarrollar las estrategias de la promoción de la Oferta Académica de la Universidad Surcolombiana. Total participantes: Estudiantes de grados 10° y 11°. OCT, NOV, DIC 2017.
4. PROMOCIÓN OFERTA ACADÉMICA / PITALITO (HUILA): La Universidad Surcolombiana participó con un STAND UNIVERSITARIO en este evento, con el fin de promocionar su oferta académica y los programas ofertados en la Sede Pitalito. Muchas gracias a los funcionarios de la Sede Pitalito por su apoyo y entrega a estas importantes actividades. 
5. NOTA FERIA DE LA SURCOLOMBIANIDAD (PITALITO, GARZON, LA PLATA Y NEIVA) PARA MEDIOS. 
6. FOTOGRAFÍAS PARA PROMOCIÓN DE LA OFERTA ACADÉMICA: Integrantes del Proyecto de Apropiación de la Teleología Institucional desarrollaron una sesión fotográfica con el fin de elaborar las piezas publicitarias para la promoción de la Oferta Académica y la publicación de contenidos digitales que permitan visibilizar nuestra casa de estudios. Soporte: FOTOGRAFIAS.
7. FERIA DE LA SURCOLOMBIANIDAD ITINERANTE PROMOCIÓN OFERTA ACADÉMICA / GARZÓN (HUILA): Se visitaron 7 colegios entre públicos y privados y se atendió a estudiantes de grados 11 del municipio de Garzón. COLEGIOS VISITADOS: I e Jenaro Diaz Jordan, I.E. Luis Calixto Leiva, I.E. Barrios Unidos, San miguel arcángel, Cooperativo la presentación, I.E. Simon Bolivar, Gimnasio Minuto de Dios. En el marco de la FERIA DE LA SURCOLOMBIANIDAD, la Vicerrectoría Académica propuso para la vigencia 2017, realizar la Feria de la Surcolombianidad ITINERANTE, con el fin de llegar a las Instituciones Educativas del Municipio de Garzón, para promover su oferta académica, brindar orientación profesional y aplicar el aplicativo POP del proyecto de  permanencia y Graduación del GRUPO PACA – USCO. OCTUBRE 2017.
8. FERIA ITINERANTE PROMOCIÓN OFERTA ACADÉMICA – USCO: También hemos hecho presencia en algunas instituciones Educativas del Municipio de Neiva y Florencia y Pitalito: I.E. Promoción Social de Neiva. OCT, NOV, DIC.
9. PARTICIPACIÓN INSTITUCIONAL EN FERIA ORGANIZADA POR EL ICETEX: El pasado martes 8 de noviembre, la Universidad Surcolombiana participó en la feria de Universidades organizada por el ICETEX, desarrollada en la capital del departamento del Huila. Estudiantes. NOVIEMBRE 2017.
</t>
  </si>
  <si>
    <t>1. PUBLICACIÓN DE LA OFERTA ACADÉMICA EN DIARIO LA NACIÓN, OPA NOTICIAS, DIARIO DEL HUILA, UPI: El proyecto de Apropiación de la Teleología Institucional realizó gestiones para publicación de la Oferta Académica de la Universidad Surcolombiana.</t>
  </si>
  <si>
    <t xml:space="preserve">• Apoyo económico para manutención y transporte a Pitalito para apoyar tramite de registro calificado a nuevo programa de Administración Turística y hotelera
• Apoyo económico para viáticos y pasajes terrestres para participar y apoyar en la visita de pares académicos del nuevo programa de Administración Turística y hotelera
• Apoyo económico para manutención y pasajes terrestres con el fin de realizar visita a la Universidad Nacional de Colombia: FACIEN
• Elaboración y corrección de documento maestro para programa de postgrados de especialización en FACIEN
• DESPLAZAMIENTO PARA APOYAR PROCESO DE REGISTRO CALIFICADO A PROG. GESTION FINANCIERA
• EXCD. FEA - ASESORIA PARA ELABORACION DE DOCUMENTO MAESTRO PARA CREACION DE ESPECIALIZACION DE ESTANDARES INTERNACIONALES
• EXCD. FED - APOYO A PROPUESTA PARA LA CREACION EL PROGRAMA LENGUA EXTRANJERA EN LA SEDE PITALITO
</t>
  </si>
  <si>
    <t xml:space="preserve">Docentes Invitados Y Actividades de la ESCUELA DE FORMACIÓN PEDAGOGICA 
• JUAN DIEGO LOPERA
• ANDRES KLAUS RUNGE
• CARLOS EDUARDO MALDONADO CASTAÑEDA
• CANAL DE YOUTUBE: ESCUELA DE FORMACIÓN PEDAGÓGICA (Soporte de cada una de las Actividades): https://www.youtube.com/channel/UC_1qpSojAtWWFYzpssYOyJQ
• Durante el semestre 2017-1 se consolidó el portafolio de Servicios Académicos de la EFP, se dispuso de un Google Formularios para diligenciar el formato. Hasta el momento contamos con los siguientes temas: Seminario Taller Pedagogías Críticas, Consultoría en gestión pública territorial, Consultoría en direccionamiento estratégico, USO DE HERRAMIENTAS DE GOOGLE DRIVE PARA LA DOCENCIA Y TRABAJO COLABORATIVO EN ESPACIOS ACADÉMICOS, Técnicas para hablar en público, Laboratorio Informática Facultad de Educación (LIFE), Taller análisis de datos cualitativos con ATLAS.TI, Seminario-taller o conferencia-plenaria sobre tecnología educativa, enfoques TIC y TAC, Seminario Taller Técnicas y métodos de investigación social, Seminario: Política Pública de Educación Rural en Colombia: OCHO PROFESORES SON LOS QUE OFRECIERON SUS SERVICIOS ACADÉMICOS PARA LA CONSTRUCCIÓN DEL PORTAFOLIO
</t>
  </si>
  <si>
    <t xml:space="preserve">• MANUITENCION PARA ASISTIR AL CURSO TIERRAS COMO ENTENDER Y CUBRIR CONFLICTOS TERRITORIALES
• PASAJES TERRESTRES Y MANUTENCION CON EL FIN DE ASISTIR COMO EVALUADOR PRESENCIAL 
• MANUTENCION Y TRANSPORTE PARA ASISTIR A FERIA DE CAFES COLOMBIA EXPO 2017 A REALIZARSE EN BOGOTA
• APOYO ECONOMICO PARA MANUTENCION CON EL FIN DE PARTICIPAR COMO PONENTE AL EVENTO EL HUILA FRENTE A LAS REFORMAS 
• VIATICOS CON EL FIN DE PARTICIPAR EN EL XV TALLER NACIONAL PARA LA TRANSFORMACION DOCENTE EN LENGUAJE
• MANUTENCION CON EL FIN DE ASISTIR AL WORKSHOP DEL PROYECTO MEJORANDO LOS MEDIOS DE VIDA RURALES
• MANUTENCION CON EL FIN DE ASISTIR AL WORKSHOP DEL PROYECTO MEJORANDO LOS MEDIOS DE VIDA RURALES
• VIATICOS Y PASAJES TERRESTRES PARA ASISTIR A LA III CONFERENCIA COLOMBIANA DE CONTROL AUTOMATICO
• MANUTENCION E INSCRIPCION PARA PARTICIPAR EN EL XVII CONGRESO COLOMBIANO DEL PETROLEO Y GAS
• MANUTENCION E INSCRIPCION PARA PARTICIPAR EN EL XVII CONGRESO COLOMBIANO DEL PETROLEO Y GAS
• MANUTENCION PARA ASISTIR AL III CONGRESO ESPAÑOL DE LA MAMA
• VIATICOS CON EL FIN DE PARTICIPAR EN EL CONGRESO INTERNACIONAL TERRITORIOS Y ETICA
• VIATICOS PARA PARTICIPAR COMO ASISTENTE EN EL II CONGRESO INTERNACIONAL PARA EL DESARROLLO
• APOYO ECONOMICO PARA MANUTENCION, INSCRIPCION Y TRANSPORTE CON EL FIN DE PARTICIPAR EN II ENCUENTRO
• VIATICOS Y PASAJES TERRESTRES PARA ASISTIR A X CONGRESO INTERNACIONAL DE SALUD PUBLICA
• MANUITENCION, INSCRIPCION Y PASAJES TERRESTRE CON EL FIN DE PARTICIPAR AL XVIII CONGRESO COLOMBIANO DE HISTORIA
• VIATICOS PARA PARTICIPAR COMO PONENTE EN EL IV CONGRESO NACIONAL DE INVESTIGACION
• MANUTENCION CON EL FIN DE ASISTIR AL XVII CONGRESO COLOMBIANO DE PETROLEO Y GAS
• VIATICOS, PASAJES TERRESTRES Y BOLETAS PARA ASISTIR A ROBOTIC PEOPLE FEST
• MANUTENCION Y PASAJES TERRESTRES CON EL FIN DE ASISTIR AL 3ER IEEE COLOMBIA
• INSCRIPCION Y MANUTENCION CON EL FIN DE ASISTIR COMO PONENTE EN EL XVII CONGRESO COLOMBIANO DE QUIMICA
• COMPRA DE PASAJES AEREOS CON EL FIN DE ASISTIR AL VIII CONGRESO LATINOAMERICANO Y DEL CARIBE DE ESTUDIANTES
• COMPRA DE PASAJES AEREOS CON EL FIN DE ASISTIR AL VIII CONGRESO LATINOAMERICANO Y DEL CARIBE DE ESTUDIANTES
• PASAJES AEREOS CON EL FIN DE ASISTIR AL XVII ENCUENTRO NACIONAL DE LA RED DE GRUPOS DE INVESTIGACION
• INSCRIPCION CON EL FIN DE ASISTIR AL SIMPOSIO INTERNACIONAL SOBRE SOLANACEAS CULTIVADAS 
• APOYO ECONOMICO PARA MANUTENCION E INSCRIPCION CON EL FIN DE PARTICIPAR DE CONGRESO NACIONAL
• VIATICOS Y PASAJES TERRESTRES CON EL OBJETO DE ASISTIR A XVII CONGRESO COLOMBIANO DE PETROLEO Y GAS
• MANUTENCION E INSCRIPCION CON EL FIN DE PARTICIPAR COMO PONENTE EN X CONGRESO INTERNACIONAL DE SALUD PUBLICA
• MANUTENCION E INSCRPCION CON EL FIN DE ASISTIR AL XVII CONGRESO COLOMBIANADEL PETROLEO Y GAS 2017
• VIATICOS Y PASAJES TERRESTRES PARA PARTICIPAR COMO ASISTENTE A SIMPOSIO INTERNACIONAL IMPACTO DE LA EDUCACION
• VIATICOS, INSCRIPCION Y PASAJES TERRESTRES PARA ASISTIR AL VI ENCUENTRO INTERNACIONAL
• APOYO ECONOMICO PARA MANUTENCION CON EL FIN DE ASISTIR COMO ASISTENTE AL 52 ASOCOPI
• VIATICOS, INSCRIPCION Y PASAJES AEREOS PARA ASISTIR A II CONGRESO INTERNACIONAL DE INNOVACION
• VIATICOS Y PASAJES AEREOS PARA ASISTIR AL VI ENCUENTRO DE GESTION UNIVERSITARIA DEL SUE
• PASAJES AEREOS CON EL FIN DE ASISTIR AL V SEMINARIO DE LA RED INTERNACIONAL PENSAMIENTO CRITICO 
• VIATICOS Y TRANSPORTE TERRESTRE CON EL FIN DE ASISTIR AL XVII CONGRESO COLOMBIANO DEL PETROLEO Y GAS
• PAGO DE INSCRIPCION AL XVII CONGRESO COLOMBIANO DEL PETROLEO Y GAS
• APOYO ECONOMICO PARA PARTICIPAR COMO PONENTE EN EL V ENCUENTRO MINERO DE SISTEMAS DINAMICOS EN BRASIL
• MANUTENCION Y TRANSPORTE CON EL FIN DE ASISTIR AL X CONGRESO INTERNACIONAL DE SALUD PUBLICA, PAZ Y EQUIDAD EN MEDELLIN: GILBERTO MAURICIO ASTAIZA ARIAS
• EXCD. FAC. INGENIERIA - VIATICOS CON EL FIN DE ASISTIR AL VIII CONGRESO LATINOAMERICANO Y DEL CARIBE
• VIATICOS Y PASAJES AEREOS CON EL FIN DE PARTICIPAR EN EL X CONGRESO INTERNACIONAL DE MEDIO AMBIENTE
• APOYO ECONOMICO PARA INSCRIPCION Y MANUTENCION CON EL FIN DE ASISTIR A XIX JORNADAS INTERNACIONALES
• APOYO ECONOMICO PARA MANUTENCION INSCRIPCION Y PASAJES TERRESTRES PARA PARTICIPAR EN CONGRESO
• APOYO ECONOMICO PARA MANUTENCION CON EL FIN DE PARTICIPAR EN EL SOIL MICROBIAL ECOLOGY INTERNACIONAL
• APOYO ECONOMICO PARA MANUTENCION CON EL FIN DE ASISTIR AL XIX SIMPOSIO DE INVESTIGACIONES EN SALUD
• APOYO ECONOMICO PARA ALOJAMIENTO E INSCRIPCION CON EL FIN DE ASISITIR AL XXV SIMPOSIO INTERNACIONAL GONDOLA
• APOYO ECONOMICO PARA MANUTENCION Y PASAJES TERRESTRES CON EL FIN DE ASISTIR A BIOEXPO COLOMBIA 2017
• APOYO ECONOMICO PARA INSCRIPCION CON EL FIN DE ASISTIR A CATEDRA UNESCO
• APOYO ECONOMICO PARA MANUTENCION CON EL FIN DE ASISTIR AL 25 TH UEG WEK BARCELONA 2017 
• VIATICOS CON EL FIN DE ASISTIR AL V SEMINARIO DE LA RED INTERNACIONAL PENSAMIENTO CRITICO RESISTENCIAS Y ESPIRITUALIDA
• APOYO ECONOMICO PARA MANUTENCION CON EL FIN DE ASISTIR AL X CONGRESO INTERNACIONAL DE PENSAMIENTO LATINOAMERICANO
• VIATICOS Y PASAJES TERRESTRES CON EL FIN DE ASISTIR A LA III CONVOCATORIA CURSO NACIONAL SINDICA.
• INSCRIPCION Y PASAJES AEREOS PARA ASISTIR AL VII CONGRESO INTERNACIONAL DE INNOVACION Y TECNOLOGIA
• VIATICOS Y PASAJES TERRESTRES CON EL FIN DE PARTICIPAR COMO ASISTGENTE A LA ASAMBLEA DE LA RED COLOMBIANA
• APOYO ECONOMICO PARA MANUTENCION CON EL FIN DE ASISTIR AL XXX AMA EROCAM CONGRESS PF TRAI
• VIATICOS, INSCRIPCION Y PASAJES TERRESTRES PARA ASISTIR A III CONGRESO ANDINO
• EXCD. FACIEN - APOYO ECOMICO PARA DOCENTE CON EL FIN DE ASISTIR A ENCUENTRO USCOFACIEN 2017 A DESARROLLARSE EN LA SEDE GARZON
• INSCRIPCION PARA REALIZACION DE VIII SEMINARIO INTERNACIONAL USRA
• VIATICOS CON EL FIN DE ASISTIR AL VII CONGRESO INTERNACIONAL DE INNOVACION Y TECNOLOGIA
• VIATICOS Y PASAJES TERRESTRES PARA ASISTIR A CATEDRA UNESCO DE LA COMUNICACIÓN
• APOYO ECONOMICO PARA MANUTENCION CON EL FIN DE ASISTIR A LA II BIENAL INTERNACIONAL DE EDUCACION Y CULTURA
• EXCD. FACIEN - APOYO ECONOMICO PARA PARTICIPAR COMO PONENTE EN EL XI CONGRESO INTERNACIONAL DE ESTUDIOS AMBIENTALES
• VIATICOS Y TRANSPORTE TERRESTRE PARA VIAJAR A ARMENIA CON EL FIN DE REALIZAR JORNADA ACADEMICA
• VIATICOS, INSCRIPCION Y PASAJES AEREOS CON EL FIN DE ASISTIR A LA III CONFERENCIA DE INNOVACION EN INGENIERIA.
• VIATICOS Y PASAJES AEREOS PARA PARTICIPAR COMO PONENTE EN EL PROCESO DE CONSTITUCION DEL EMPRENDEDOR
• MANUTENCION Y TRANSPORTE CON EL FIN DE DESPLAZARSE A MOCOA PARA ASISTIR A LA II BIENAL INTERNACIONAL DE EDUCACION
• VIATICOS Y PASAJES AEREOS CON EL FIN DE ASISTIR AL VIII SEMINARIO INTERNACIONAL DE EDUCACION FISICA
• MANUTENCION, INSCRIPCION Y TRANSPORTE TERRESTRE PARA ASISTIR A TALLERES EXPO TECNO TELEVISION Y RADIO 2017
• VIATICOS Y TRANSPORTE CON EL FIN DE REALIZAR JORNADA ACADEMICA CON INTEGRANTES DE GRUPO DE HIDROINGENIERIA
• APOYO ECONOMICO PARA INSCRIPCION Y MANUTENCION CON EL FIN DE PARTICIPAR EN EL XI CONGRESO DE FICOLOGIA
• VIATICOS Y PASAJES TERRESTRES CON EL FIN DE ASISTIR A CATEDRA UNESCO DE LA COMUNION 
• APOYO ECONOMICO PARA MANUTENCION Y TRANSPORTE TERRESTRE CON EL FIN DE ASISTIR AL XXXIV SIMPOSIO SOBRE REVISORIA FISCAL
• APOYO ECONOMICO PARA MANUTENCION CON EL FIN DE ASISTIR A LA JORNADA ACADEMICA 
• VIATICOS PARA ASISTIR AL XIII CONGRESO COLOMBIANO DE MORFOLOGIA, CIENCIAS MORFOLOGICAS APLICADAS
• MANUTENCION PARA ASISTIR COMO PONENTES A EVENTO A CADEMICO IX ENCUENTRO CIENTIFICO INTERNACIONAL
• VIATICOS Y PASAJES TERRESTRES PARA PARTICIPAR COMO ASISTENTE EN CONVERSATORIO
• APOYO ECONOMICO PARA MANUTENCION, INSCRIPCION Y TRANSPORTE TERRESTRE CON EL FIN DE ASISTIR A CONGRESO
• MANUTENCION, TRANSPORTE E INSCRIPCION PARA DESPLAZAMIENTO A PASTO CON EL FIN DE PARTICIPAR EN SEMINARIO INTERNACIONAL
• APOYO ECONOMICO PARA MANUTENCION CON EL FIN DE ASISTIR AL ENCUENTRO ANDINO DE UNIVERSIDADES Y CENTROS DE INVESTIGACION
• APOYO ECONOMICO PARA INSCRIPCION CON EL FIN DE ASISTIR A SEMINARIO DE AVANCES TECNOLOGICOS
• APOYO ECONOMICO PARA MANUTENCION CON EL FIN DE ASISTIR AL VIII SEMINARIO INTERNACIONAL USO RACIONAL DEL AGUA
• APOYO ECONOMICO PARA MANUTENCION CON EL FIN DE ASISTIR AL SIMPOSIO INTERNACIONAL SOBRE SOLANACEAS
• EXCXD. FACIEN - APOYO ECONOMICO PARA PARTICIPAR EN CONGRESO INTERNACIONAL
• APOYO ECONOMICO PARA MANUTENCION Y PASAJES TERRESTRES CON EL FIN DE ASISTIR A CONGRESO ACADI
• VIATICOS PARA ASISTIR A III CONGRESO INTERNACIONAL DE LA RED DE ENFERMERIA
• INSCRIPCION PARA PARTICIPAR EN EL CURSO SOBRE RECONSTRUCCION DE ACCIDENTES NIVEL 1
• APOYO ECONOMICO PARA MANUTENCION E INSCRIPCION CON EL FIN DE ASISTIR A SEMINARIO TALLER PAPELES DE TRABAJO
• EXCD. FEA - INSCRIPCION, VIATICOS Y TRANSPORTE AEREO PARA ASISTIR A TALLER DE CAPACITACION - CARLOS EDUARDO AGUIRRE RIVERA
• EXCD.FACIEN - APOYO ECONOMICO PARA PARTICIPAR EN EL III INTERNACIONAL CONFERENCE ON APLIEDD
• APOYO ECONOMICO PARA MANUTENCION CON EL FIN DE PARTICIPAR CON PONENCIA
• MANUTENCION CON EL FIN DE DESPLAZARSE A LA CIUDAD DE CALI PARA PARTICIPAR EN ENCUENTRO NACIONAL POR LOS SUELOS DE COLOMBIA
• MANUTENCION CON EL FIN DE DESPLAZARSE A LA CIUDAD DE CALI PARA PARTICIPAR EN ENCUENTRO NACIONAL POR LOS SUELOS DE COLOMBIA
• EXCD. FACIEN - APOYO ECONOMICO PARA DOCENTE CON EL FIN DE PARTICIPAR EN EL III INTERNACIONAL CONFERENCE ON APPLIED MATHEMATICS ICAMI 2017
• EXCD. FACIEN - APOYO ECONOMICO PARA PARTICIPAR EN EL III INTERNTIONAL CONFERENCE ON APPLIED MATHEMATICS
• EXCD. FACIEN - APOYO ECONOMICO PARA ASISTIR AL SEMINARIO NACIONAL OVOP
• EXCD. FED - VIATICOS Y PASAJES TERRESTRES Y AEREOS PARA DESPLAZAMIENTO 
• EXCD. FED - VIATICOS Y PASAJES TERRESTRES Y AEREOS PARA DESPLAZAMIENTO 
• EXCD. FED - VIATICOS PARA DESPLAZAMIENTO LA CIUDAD DE MONTEVIDEO URUGUAY EXCD. FAC. SALUD - CAPACITACION DE EDUCACION EN SALUD DIRIGIDO A DOCENTES DE LA FACULTAD DE SALUD DE LA USCO - SANDRA XIMENA OLAYA
• CAPACITACION INDIVIDUAL DOCENTE DICIEMBRE DE 2017
RAMIRO PERALTA MORALES
YAMILE JOHANA PEÑA POVEDA
PARTICIPAR EN CONGRESO EFECTOS TRIBUTARIOS 
ASISTIR A TALLER Y EVALUACION Y GERENCIA DE PROYECTOS
ASISTIR AL VII CONGRESO INTERNACIONAL DE CONTADURIA 
ASISTIR A TALLER FORMULACION Y EVALUACION DE PROYECTOS AGRICOLAS
ASISTIR AL VII CONGRESO INTERNACIONAL DE CONTADURIA 
ASISTIR AL VII CONGRESO INTERNACIONAL DE CONTADURIA 
JAIME RAMIREZ PLAZAS
MAURO MONTEALEGRE CARDENAS
LUIS ARTURO POLANIA
GUSTAVO LONDOÑO BETANCOURT
YINETH MEDINA ARCE
JASMID VERA CUENCA
</t>
  </si>
  <si>
    <t xml:space="preserve">• Garantizar la ejecución del Programa de Interlingua para Docentes de la Universidad Surcolombiana por parte de la Vicerrectoría Surcolombiana.
• Realización de los cursos de ingles
• Clausura cursos de inglés. Soporte: Registro de asistencia, reporte de los docentes
• Compra de materiales para libros: 2017
• Proyección de la convocatoria 2018-1, Soporte: Convocatoria. 2018.
</t>
  </si>
  <si>
    <t xml:space="preserve">Las facultades que hicieron uso del recurso económico fueron: 
• Facultad de Salud
• Facultad de Ciencias Exactas y Naturales
• Facultad de Ingeniería
• Facultad de Ciencias Sociales y Humanas
• Facultad de Economía y administración
• Ciencias jurídicas y políticas
Las cuales lo ejecutaron en las siguientes actividades:
• APOYO ECONOMICO PARA COMPRA PASAJES AEREOS Y GASTOS ALIMENTACION Y HOSPEDAJE PARA EL CONFERENCISTA EDUARDO RESTREPO 
• DESARROLLAR ACTIVIDAD ACADEMICA SEDE PITALITO: EDUARDO ANTONIO RESTREPO
• APOYO ECONOMICO PARA DOCENTE INVITADO INTERNACIONAL DR. FRANCISCO PROVENZANO: DOLLY CASTRO BETANCOURT, YINETH MEDINA ARCE, IRENE DUARTE GANDICA
• APOYO ECONOMICO PARA COMPRA DE PASAJES AEREOS
• ASISTIR A VII CONGRESO INTERNACIONAL
• ACTIVIDAD ACADEMICA REMUNERADA: CARLOS EDUARDO MALDONADO CASTAÑEDA
</t>
  </si>
  <si>
    <t xml:space="preserve">• Socialización de las actividades desarrolladas por los profesionales de apoyo durante el semestre 2017-1, relación y organización de información numérica y documental.
• Socialización y orientaciones en el acompañamiento a los procesos de autoevaluación de programas académicos en el semestre 2017-2.
• Socialización y orientaciones por parte del Director General de Currículo para la consecución de información con programas académicos, facultades y dependencias administrativas de la universidad para el análisis en la proyección del Sistema de Información Institucional Integrado.
De acuerdo a la orientación en la consecución de información para el análisis en la proyección del Sistema de Información Institucional Integrado se realizaron las siguientes acciones:
• Reunión Tema: Diseñar plan de trabajo para la selección de fuentes de información, elaboración de instrumento  y aplicación de entrevistas a profundidad a Programas Académicos y Facultades.
• Trabajo de identificación de dependencias y fuentes de información en relación con los aspectos numéricos. 
• Trabajo identificación de dependencias y fuentes de información en relación con los aspectos documental y de análisis.
• Selección de aspectos que se relacionan directamente con información que pueden suministrar los Programas Académicos y elaboración preliminar del instrumento.
• Reunión Tema: Revisión de actividades desarrolladas y Distribución de las Facultades para aplicar entrevistas a profundidad.
• Jornadas de trabajo para revisar uno a uno los aspectos seleccionados y adaptarlas como preguntas para la entrevista a profundidad dirigida a actores de los Programas y Facultades. 
• En el marco del proceso de evaluación y ajustes de los cursos básicos y flexibles institucionales, se han adelantado las siguientes acciones:
• Vinculación como secretario técnico en el equipo de docentes delegados desde las facultades para la actualización y ajustes de los microdiseños de los Cursos Básicos Institucionales acordes con la nueva teleología institucional y la apuesta del eje de Posacuerdo, Paz y Reconciliación como un asunto transversal; espacio liderado por el docente Carlos Bolívar y por las facultades asisten los docentes: William Sierra y Carlos Arnulfo Rojas por la Facultad de Ciencias sociales y Humanas;  Ladys Jiménez por la Facultad de Educación; Lizeth Vargas por la Facultad de Ciencias Jurídicas y políticas y Ana Lilia Bernal por la Facultad de Ciencias Exactas y Naturales. 
• En el marco de la evaluación y ajustes de los Cursos Flexibles Institucionales de Formación Sociohumanística, se ha recopilado desde el sistema de estadística institucional la siguiente información: identificación de los cursos ofrecidos según norma interna de la universidad, total de grupos abiertos por semestre, total de matriculados por grupo de cada curso y total de matriculados de cada curso por facultad correspondiente al periodo académico 2015 -2016; Hasta la fecha, se está recopilando la información mencionada correspondiente al periodo 2012 – 2014. Lo anterior con el objeto de analizar, evaluar y ajustar el portafolio de cursos flexibles institucionales.  
En el marco del proceso de evaluación y ajustes de los cursos Institucionales básicos y flexibles, se han adelantado las siguientes acciones:
• En el marco de la actualización y ajustes de los Cursos Institucionales Básicos se realizaron semanales con el equipo de docentes delegados por cada facultad los días 1, 8, 15, 22 y 29; durante estas sesiones se socializaron los microdiseños de los cursos de Medio Ambiente, Comunicación Lingüística I, Constitución Política y Ética, permitiendo hacer observaciones en cada uno de ellos acordes en la implementación de los componentes teleológicos de la universidad y la apuesta por vincular los acuerdo de Paz. Metodológicamente, se está trabajando en cada microdiseño en la reestructuración de los componentes, avanzando hasta la fecha en la Presentación, Justificación y Competencias generales de cada microdiseño; proceso que se evidencia en las actas de cada reunión.
• En el marco de la evaluación y ajustes de los Cursos Institucionales Flexibles de Formación Sociohumanística, se recopiló la información del total de grupos abiertos y números de matriculados de los cursos en mención correspondientes al periodo académico 2012 - 2016. Hasta la fecha estoy terminando el documento “Evaluación de los Cursos Institucionales Flexibles de Formación Sociohumanística de la Universidad Surcolombiana, periodo 2012 – 2016”; documento que esboza el siguiente contenido: Normograma institucional; Evolución del Portafolio de Cursos Institucionales Flexibles de Formación Sociohumanística periodo 2005 – 2015; Portafolio de cursos por histórico de Acuerdos del Consejo Académico; Cursos Institucionales Flexibles de Formación Sociohumanística por facultades Acuerdo 002 (27 de enero) de 2015; Número de grupos y matriculados por curso periodo 2012 – 2016 y Conclusiones.
• Construcción de Cuadros: Número de estudiantes, Total ingresos del programa, Total de gastos y costos, Total costo por estudiante e inversión en infraestructura y dotación programa de Contaduría Pública.
• Vinculación laboral recién graduado del Programa de Ingeniería Agrícola y Profesionales del programa en el Departamento
• Universidades que ofertan Ingeniería Agrícola en Colombia 
• Participación capacitación gestión ambiental 
• Asistencia jornada de trabajo comité central de currículo
• Búsqueda de información y elaboración del cuadro de admitidos totales, periodos 2011-1 a 2017-2 para el programa de ingeniería Agrícola en la sede Garzón y Pitalito.
• Búsqueda de información y elaboración del cuadro de Matriculados totales, periodos 2011-1 a 2017-2 para el programa de ingeniería Agrícola en la sede Garzón y Pitalito.
• Participación visita de pares programa de administración financiera 
• Actualización Cuadro de Planta física de la Universidad para el programa de Ingeniería Agrícola sedes Garzón y Pitalito
• Búsqueda de información y elaboración de los cuadros (Sedes Garzón y Pitalito):                                                                               - Servicios de bienestar universitario ofrecido a los estudiantes del Programa de Ingeniería Agrícola.     - Número de estudiantes de Ingeniería Agrícola que participaron en los grupos Artísticos y Talleres de extensión Cultural.      Número de Meriendas Entregadas a Estudiantes Matriculados.  - Beneficiarios Jóvenes en Acción Ingeniería Agrícola.    - Beneficiarios Tablet Usco Ingeniería Agrícola.  
• Búsqueda de información y elaboración de los cuadros  Históricos 2010 -1 a 2017-2 con inscritos, Admitidos y Matriculados Por Primera Vez
• Calculo Índice de Selectividad e Índice de Absorción - periodo 2010 -1 a 2017 - 2, para los 46 programas de la universidad (sede Neiva, Garzón, Pitalito y la Plata)
• Búsqueda de información y elaboración cuadro: Número de Matriculados por modalidad en la Universidad Surcolombiana en los años 2010 al 2017
• Búsqueda de información y elaboración cuadro: Estudiantes matriculados en programas de pregrado por estrato socioeconómico en la Universidad Surcolombiana en los años 2010 al 2017
</t>
  </si>
  <si>
    <t xml:space="preserve">• Durante el mes de Octubre, noviembre y diciembre, para el desarrollo del programa de Aprestamiento en Habilidades de Comprensión de Lectura y Matemáticas, las actividades realizadas estuvieron enfocadas al seguimiento a los estudiantes que ingresaron al primer semestre desarrollado por los monitores del proyecto y su respectiva sistematización.
• Reunión con coordinadores de práctica del programa de Licenciatura en Matemáticas, Licenciatura en Literatura y Lengua Castellana, para evaluar el proyecto. 
• Reunión evaluativa con los estudiantes que hicieron parte del proyecto como monitores.
• Reunión con coordinadores de práctica para la selección de los monitores del segundo semestre del año 2017.
• Selección de monitores, convocatoria, presentación de propuesta metodológica  para el semestre 2018-1
• Reunión para evaluar las diversas propuestas presentadas, analizar los cambios para el primer semestre del año 2018.
• Organización de las semanas de capacitación de los monitores que harán parte del proceso en el segundo semestre.
• Creación, diagramación y corrección de módulos de Comprensión de Lectura y Matemáticas.
• Organización logística y de planta física para recibir los estudiantes al programa semestre cero para el 2018-1
</t>
  </si>
  <si>
    <t xml:space="preserve">• Elaboración de informe cualitativo de resultados Saber Pro Competencias genéricas 2016, por programa académico.
• Encuentro informativo relacionado con los fundamentos de las Competencias Genéricas Saber Pro y uso pedagógico de resultados.  Uno por cada  decanatura.
• Encuentros informativos en Consejo de Facultad, con Decanos, Jefes de programa y Docentes, sobre resultados cuantitativos y por niveles de desempeño, obtenidos por estudiantes en el examen Saber Pro 2016.
• Taller con docentes, por programas académicos, sobre análisis e interpretación de resultados del  examen  Saber Pro. Competencias Genéricas y Específicas. 
• Taller con  equipo pedagógico responsable de las capacitaciones de los estudiantes, por competencias genéricas.
• Organización talleres presenciales, para el fortalecimiento de las Competencias Genéricas, dirigido a estudiantes próximos a la presentación del examen Saber Pro. Cinco (5) por programa académico.
</t>
  </si>
  <si>
    <t xml:space="preserve">Acompañamiento técnico docentes consejeros
• Tres (3) sesiones de fortalecimiento de capacidades
• 117 docentes consejeros
• Acompañamiento telefónico para activación de rutas de atención.
• Diseño de metodologías a implementar en consejerías colectivas.
• Planes de alistamiento consejerías colectivas para la totalidad de docentes consejeros
• Socialización de rutas de atención acordadas por Comité de Permanencia y Graduación
Acompañamiento a estudiantado
• 30  espacios de trabajo con estudiantes primer semestre  de 2 horas de duración en cada uno.
• Asistieron 1.108 primeros estudiantes, cubriendo la totalidad de facultades de las 4 sedes.
• Acompañamiento telefónico a estudiantado, durante procesos inherentes a su permanencia.
• Asesoría y acompañamiento en activación de rutas a través de Bienestar Universitario
• Realización de consejerías colectivas para la totalidad de programas sede Neiva
Gestión
• Articulación con Unidad de Servicios de Atención Psicológica.
• Articulación con Bienestar Universitario para acompañamiento a Familias.
• Seguimiento a casos derivados a Bienestar Universitario
• Articulación con Programa Mujer y Género – Alcaldía de Neiva para la construcción de rutas de atención.
• Secretaría Técnica Comité Permanencia y Graduación.
• Consolidación de rutas de atención de riesgo de mortalidad universitaria al interior de la USCO
• Generación de piezas comunicativas con el fin de socializar el proyecto  y sensibilizar al estudiantado sobre la solicitud temprana de acompañamiento
• Elaboración de materiales para la implementación de planes de trabajo de consejerías por parte de los Programas académicos.
• Seguimiento a la realización de materiales de sensibilización de la comunidad universitaria.
• Actividades de articulación del Proyecto de consejerías a la Unidad de Servicios de Atención Psicológica.
• Avance en proceso de consolidación en de la Política de Inclusión de la Universidad Sur colombiana
</t>
  </si>
  <si>
    <t xml:space="preserve">• Acompañamiento al estudiantado indígena
• Acompañamiento a la Junta Directiva del Cabildo Indígena Universitario.
• Acompañamiento a practicante indígena con el objetivo de fortalecer los procesos de comunicación interna y externa.
• Detección temprana de riesgo de mortalidad estudiantil y generación de estrategias de intervención.
• En articulación con el CRIHU se identificaron barreras de acceso durante el proceso de admisiones, a partir de lo cual se implementó una  estrategia de acompañamiento facilitadora, incrementando en un 50% el número de aspirantes que consiguieron completar el proceso de admisión.
• Se facilitó acompañamiento para la consolidación de grupo de tejidos y danzas propias, como dinámica protectora ante el desarraigo cultural vivido por el estudiantado indígena.
</t>
  </si>
  <si>
    <t xml:space="preserve">• Programar reunión con Bienestar universitario para socializar los indicadores SUE y reportes del área. 1 
• Consolidación de estadísticas 2017-2 para matricula, estrato socioeconómico y nivel de formación. 
• Revisión plan de mejoramiento con el Jefe Carlos Ardila, sobre lo trabajando y ajustado con los vicerrectores. 
• Consolidar interrelación cuadro – matriz de Plan de Desarrollo, factores de lineamientos para acreditación institucional con sus respectivas características. 
• Elaboración y proyección de los recursos del Proyecto 5.1 del subsistema de formación en el plan de desarrollo para el presupuesto de 2018, con Andrés Venegas de la vicerrectoría académica.  
• Reunión con Marie Edith de la oficina asesora de planeación para consolidar los saldos de los proyectos del plan de acción 2017, en la matriz del plan de mejoramiento institucional. 
• Participación en la reunión de socialización de los indicadores y reportes SUE con bienestar universitario en el auditorio Olga Tony. 
• Construcción del plan de seguimiento al plan de mejoramiento institucional basados en los formatos del MEN. 
• Reunión con la oficina de extensión cultural para verificar el SIBU respecto a esta área y socialización detallada de reportes SUE. 
• Reunión con CTIC para ver adelantos del sistema de información de acreditación institucional. • Reunión comité directivo para presentación del plan de mejoramiento final y la propuesta de plan de seguimiento en construcción. 
• Revisión y construcción de propuestas de comentarios frente a debilidades encontradas en el informe de PARES. 
• Construcción de cuadro y gráfica comparativa entre calificaciones presentadas por la USCO y los PARES – por característica y por factores. 
• Reunión con la dirección de proyección social para socializar informe de PARES y preparar cuadros maestros actualizados junto a las propuestas de comentarios. 
• Elaboración cuadro ponderación de calificaciones de PARES y presentación de fortalezas, debilidades y recomendaciones por factor. 
• Consolidación de cuadros maestros institucionales actualizados a corte 30 de junio de 2017. Respecto a estudiantes, docentes, proyección social, investigación, movilidad, planeación y deserción. 
• Reunión con factores 4-5-6-8-10-11, los cuales tienen calificación 4.2. En el 3 piso de la biblioteca. 
• Reunión con Sol Cortés de la vicerrectoría académica, para consolidar respuesta a requerimiento de la Alcaldía de Neiva, respecto a la política de inclusión de la Universidad y las fichas técnicas de la procuraduría. 
• Remitir a la dirección de comunicaciones el informe de PARES para elaboración de boletines comunicativos. 
• Remitir el boletín de planta física a Juan David Garzón para completitud de información documentos institucionales para programas académicos. 
• Reunión comité de Acreditación institucional en la facultad de economía para presentar y socializar el informe, el comparativo de calificaciones, las calificaciones y su respectiva ponderación y las fortalezas, debilidades y recomendaciones. 
• Montar el plan de mejoramiento en la plataforma web de Acreditación Institucional de la Universidad. 
• Recepción de matriz comentarios para consolidar informe del rector. 
• Reunión en biblioteca para elaborar propuesta de indicadores que respondan a calidad y acreditación. 
• Construcción de estadísticas de inclusión de la USCO. Programa juventudes Alcaldía de Neiva. 
• Revisión y ajustes de propuesta del Jefe Carlos Ardila frente a respuesta de comentarios al informe de PARES, para presentar al rector. 
• Reunión en Hostería con comité directivo para consolidar documento Comentarios al informe de PARES y evaluar los PARES del CNA que participaron en la visita. 
• Completitud y revisión de documento final “Comentarios al informe de PARES”, incluir presentación, paginación y logos institucionales. Remitir informe para impresión y poner en CD con anexos..
• Gestionar cita con Secretaría General para formalizar mediante una Resolución la articulación del Plan de Mejoramiento Institucional y el Plan de Desarrollo. 
</t>
  </si>
  <si>
    <t xml:space="preserve">• Comunicación con el Dr. Rubén Darío Rivera con el fin de concretar cita para revisión de la propuesta de unidad de aseguramiento de la calidad. 
• Remitir información normativa al jefe Carlos para consolidación de documentos de apoyo. 
• Reunión con Centro de Tecnologías de la Información y las Comunicaciones para armonizar los sistemas de información con los requerimientos del MEN. 
• Consolidación de los protocolos SUE y formatos soporte (Capacidad, Desarrollo Humano y Bienestar, Extensión y Proyección Social, Formación, Internacionalización, Investigación y Generación de Conocimiento). 
• Reunión sistemas de información y acreditación institucional (Sistema de Gestión de Calidad, Sistema de Gestión Ambiental y Sistema de Seguridad y Salud en el Trabajo). 
• Reunión con ingenieros desarrolladores del CTIC para ver los sistemas de información institucionales, con el Ing. Hector se revisó los indicadores SUE, Cuadros Maestros Institucionales y Cuadros Maestros de Programas Académicos. 
• Seguir consolidando matriz de armonización para el sistema de información institucional – Acreditación con hipervínculos. 
• Enviar estadísticas del MEN consolidados de las IES a Rocío y Juan David. 
• Enviar información del Plan de Mejoramiento Institucional a los programas de Licenciaturas. 19 de Julio.
• Reunión con el Jefe Benjamín para presentación y socialización de trabajo avanzado en la consolidación de la matriz de armonización para el sistema de información. 
• Reunión con Centro de información y documentación para socialización de cuadros maestros de programas académicos correspondientes al factor 11 con el Ing. Andrés del KOHA, además de organización de información de la unidad de aseguramiento de la calidad para inducción a nuevos funcionarios. 
• Enviar correo a gobierno en línea – solicitud de publicación de presentación factor 11 Biblioteca en página web. 
• Reunión jornada de trabajo con el ingeniero Hector y la ingeniera Martha para ver el sistema de información de ORNI. 
• Remitir a jefe Carlos cuadro matriz de interrelación con factores institucionales y de programas académicos. 
• Consolidar interrelación cuadro – matriz de Plan de Desarrollo, factores de lineamientos para acreditación institucional con sus respectivas características. 
• Reunión Biblioteca, actualización estadística información del Centro de información y documentación a corte 2017-1. 
• Reunión ingeniera Martha revisión módulo de Acreditación institucional – sistema de información. 
• Reunión Sistema de Seguridad y Salud en el Trabajo. Armonización de matriz sistema de información para acreditación institucional.  
• Reunión vicerrectoría administrativa para revisión del plan de mejoramiento en lo que respecta a los proyectos vinculados al subsistema administrativo. 
• Reunión con el Dr. Raúl Rivera para presentación de propuesta de la Unidad de aseguramiento de la calidad. 
• Articulación en la matriz de interrelación para sistema de información el PEU, PDI y factores de acreditación institucional. 
• Reunión centro de información y documentación para revisión de avance plan de mejoramiento – actualización de la plataforma 
• Reunión para armar perfiles acordes a la propuesta de la unidad de aseguramiento de la calidad.  
• Enviar correo al ing. Hector para organizar cronograma de jornadas de trabajo para revisión del sistema de información y reportes por factores para acreditación institucional. 
• Programación de reuniones y cronograma de trabajo con el Ing. Héctor del CTIC, para organizar los reportes del Sistema de Información de Acreditación Institucional; de tal forma que respondan a los lineamientos del CNA e indicadores SUE. 
• Revisión perfiles de personal Unidad de Aseguramiento de la Calidad con el Jefe Carlos Ardila. 
• Reunión capacitación intersemestral “Acreditación para todos” y conferencia del Dr. Carlos Julio González. 
• Reunión en la Vicerrectoría de Investigación y Proyección Social para revisión y ajustes del plan de mejoramiento institucional. 
• Comunicación con el Dr. Rubén Rivera para revisión y ajustes de la propuesta de unidad de aseguramiento de la calidad ante el CSU. 
• Remitir información población universidad 2017-2 al Centro de Información y Documentación para respuesta de indicadores SNIES. 
• Apoyo en la preparación de Auditoría de Control Interno al Centro de Información y Documentación para el período 2017-2, revisión y consolidación de las Bibliografías, Alertas y Encuestas de Satisfacción al Cliente.
</t>
  </si>
  <si>
    <t>Socialización definición de necesidades de vinculación de docentes (estudio) proceso de acreditación</t>
  </si>
  <si>
    <t>Socilización en autocontrol sobre la reformar la actual política de relevo generacional con base en criterios de excelencia académica</t>
  </si>
  <si>
    <t xml:space="preserve">• Se formuló como estrategia éste año realizar un solo evento de graduados destacados y se solicitó a cada programa 10 graduados destacados, dónde serán seleccionados por los jefes de programa con profesores de cada área para hacer la elección de las personas que serán homenajeadas por su labor destacada en la sociedad en distintas áreas; El evento se realizará el día 1 de Diciembre de 6:00 a 9:00 pm en el Centro de Convenciones José Eustasio Rivera; aspiramos a reunir 300 graduados destacados, la convocatoria se hará por programa para facilitar la comunicación y confirmar la asistencia, los recursos de la actividad están asegurados según PY 7.2.
• Estudio de Impacto: Se logró reunir el 11 de Agosto varios jefes de programas, para solicitar el apoyo a la elaboración del estudio de impacto de los graduados, involucramos a CTIC con el fin de obtener información de las encuestas elaboradas a través de la plataforma y que a la fecha tiene 2.864 encuestados y dónde logramos identificar datos como: situación laboral, expectativas de capacitación y formación ,y satisfacción con la formación, además hemos concretado varias sesiones de trabajo con el ánimo de recopilar información y demás antecedentes de cada programa.
• En reunión de plan de mejoramiento con la Vicerrectora Académica se concretó que debe quedar el proyecto elaborado para lograr la aprobación de su financiamiento y llevar a feliz término  dicho estudio.
• Bolsa de Empleo: El objetivo es fortalecer la Bolsa de Empleo, se renovó la Licencia por un valor de $9.913 786,47 pesos y funciona con normalidad y bajo la Administración del apoyo jurídico de la oficina; queremos aprovechar los Convenios en gestión para incluirlos como empresas oferentes con vacantes de empleos,  prácticas y/o pasantías. Se realiza constante difusión a través de las redes sociales y asesoría personalizada desde la oficina de graduados.
• Carnetización: Se recibió una solicitud de impresión de 582 carné para el 25 de Agosto, se lograron imprimir 450 aproximadamente, lastimosamente se nos agotó el material, se recibió material el día 06  de Octubre y se reanuda la impresión de los pendientes y con objetivo de cumplir la solicitud del 10 de Noviembre de nuevos graduandos.; es de tener en cuenta que sumado a eso no todos  los programas enviaron la información a tiempo, incluso después de la fecha de grado lo que dificultó la impresión organizada, además que no contamos con recurso para contratar monitor,  se acudió a practicantes administrativos para poder suplir el apoyo.
• Oferta posgradual: Programación de actividades en las que podamos participar con el objetivo de llevar nuestra oferta académica posgradual; se asistió al evento de EXPO-HUILA 7 al 11 de Septiembre dónde con total éxito logramos exponer no sólo posgrados sino también pregrado y en dónde asistieron  personas del orden regional, nacional e internacional.
• 1 Noviembre – Día del Administrador de Empresas y rueda de negocios.
• 16 Noviembre- Feria del Turismo
• Centro de Emprendimiento: Se realizó una reunión con el Coordinador del Centro de Emprendimiento el Dr. Rafael Méndez y todo su equipo de trabajo, además contamos con un asesor externo y voluntario que quiere apoyar el proyecto; se propuso una manera de cómo desarrollar la estrategia del posible convenio Finagro - Banco Agrario - Universidad Surcolombiana, en aras del fortalecimiento y capacitación a los graduados enfocadas al apoyo a nuevas PYMES y fortalecimiento de las ya existentes, y otras estrategias que por su naturaleza puedan ser incluidas en el convenio.
• Visita de Pares Académicos: Se ha acompañado con exposición e informes a los siguientes programas en visita de pares:
• Ing. Electrónica
• Licenciatura en Educación Infantil
• Administración Financiera
• Tec. En Gestión Financiera
• Socialización de Política Institucional de Graduados: Se realizó la socialización de la Política Institucional de Graduados en las siguientes facultades de:
 Ciencias Jurídicas y Políticas Educación (Jefes de programa y Decano)
 Facultad de Educación (Jefes de programa y Decano)
• Observatorio Laboral: Actualmente se ha respondido a la información del Observatorio Laboral y se asistió a posterior capacitación en la ciudad de Bogotá; con apoyo de las practicantes se ha enviado información a todos los correos electrónicos que requiere dicho estamento, en total son 2.800 correos y llamadas telefónicas; es de tener en cuenta que no contamos con teléfono celular y sólo podemos realizar llamadas del teléfono fijo. Se solicitó la viabilidad de una línea de celular para poder contactar a los graduados y hacer efectiva las labores solicitadas por el observatorio laboral en todo lo correspondiente en encuestas y demás.
• Relevo Generacional: Actualmente analizamos el proyecto dónde se da a conocer puntualmente el objetivo de insertar dentro de nuestra Universidad el programa de relevo generacional.
</t>
  </si>
  <si>
    <t xml:space="preserve">• Bolsa de Empleo Institucional
En aras de fortalecer y posicionar en el municipio de Neiva el Servicio de Bolsa de Empleo Institucional que ofrece de forma exclusiva la Universidad Surcolombiana a graduados y estudiantes, se realizó durante el mes de febrero y marzo  la convocatoria e invitación al evento de lanzamiento de la Bolsa de Empleo al sector de los gremios; dicha actividad se realizó el 16 de marzo en la Hostería Matamundo y contó con  la participación de 80 personas entre empresarios y representantes de diferentes instituciones; el servicio fue  bien  recibido por los empresarios quiénes reconocieron el esfuerzo realizado  por la Universidad por fortalecer y  facilitar a los diferentes usuarios de la Plataforma un sistema de incorporación laboral. Así mismo el 9 de mayo  se socializó el servicio de Bolsa de Empleo ante los gerentes  y representantes de los bancos  que tienen sede en el municipio de Neiva. • CONVENIOS
BANCO AGRARIO DE COLOMBIA: Presidente Dr. Luis Enrique Dussán
 Beneficiar con créditos de tasas preferencial a los graduados de la Universidad Surcolombiana dirigidos al fortalecimiento de negocios o empresas ya constituidas y con la asesoría y capacitación del Centro de Emprendimiento
 Apoyar planes de negocio de graduados Surcolombianos a través de un programa o estrategia orientada al primer crédito de los graduados que no tienen vida crediticia; dirigido al sector agrícola y comercial que permita materializar nuevos negocios o pequeñas empresa, fomentando así alternativas de desarrollo para la región, mejorando a su vez las expectativas económicas del graduado, asesorados y capacitados por el centro de Emprendimiento de la Universidad Surcolombiana.
 Fortalecer la bolsa de empleo dirigida desde la Universidad Surcolombiana a estudiantes y graduados; especialmente prácticas y/o pasantías administrativas orientadas a tecnólogos y profesionales que por naturaleza del objeto de Banco Agrario se requiera.
 Bancarización de los estudiantes de últimos semestres que quieran proyectar un crédito de estudio, negocio o microempresa  y que se logre a través de ésta estrategia, de manera que eduque financieramente a los futuros graduados y poder así cumplir sus objetivos de estudio y/o negocios.
 Orientar una línea de crédito dirigida a cubrir estudios posgraduales en el sector agrícola y ambiental; con el fin de fortalecer el conocimiento de los profesionales de la región. (Revisar viabilidad en otras áreas.)
 Proponer y estudiar la correlación entre las partes para formular estrategias que compenetren y apoyen los objetivos de cada una de las partes.
• FINAGRO: Presidente Dr. Carlos Ramiro Chavarro
 Beneficiar con créditos de tasas preferencial a los graduados de la Universidad Surcolombiana dirigidos al fortalecimiento de negocios o empresas ya constituidas y con la asesoría y capacitación del Centro de Emprendimiento
 Apoyar planes de negocio de graduados Surcolombianos a través de un programa o estrategia orientada al primer crédito de los graduados que no tienen vida crediticia; dirigido al sector agrícola y comercial que permita materializar nuevos negocios o pequeñas empresa, fomentando así alternativas de desarrollo para la región, mejorando a su vez las expectativas económicas del graduado, asesorados y capacitados por el centro de Emprendimiento de la Universidad Surcolombiana.
 Fortalecer la bolsa de empleo dirigida desde la Universidad Surcolombiana a estudiantes y graduados; especialmente prácticas y/o pasantías administrativas orientadas a tecnólogos y profesionales que por naturaleza del objeto de Finagro se requiera.
 Orientar una línea de crédito dirigida a cubrir estudios posgraduales en el sector agrícola y ambiental; con el fin de fortalecer el conocimiento de los profesionales de la región. (Revisar viabilidad en otras áreas.)
 Asesorar e impulsar proyectos de innovación enmarco del apoyo a proyectos de Vicerrectoría de Investigación y Proyección Social y sus semilleros de investigación teniendo en cuenta la viabilidad económica. (Estudiar la propuesta de Finagro respecto a proyectos de innovación y diseñar un objetivo que compagine con los objetivos que tienen los semilleros, negocios y empresas frente a ideas innovadoras.)
 Proponer y estudiar la correlación entre las partes para formular estrategias que compenetren y apoyen los objetivos de cada una de las partes.
 Surenvíos Gte. Comercial Ricardo Polanía
 Comfamiliar (Pendiente cita para llevar la propuesta)
 Agencia de Desarrollo Rural – Director Ramiro Silva
 Bodytech – Angélica González
 Mafre – Seguros Gte. María del Rosario Romero
 Hoteles en Villavieja, San Agustín y demás que impulsen el turismo por el Huila.
 Royal Film Gte. Comercial Diego
• Difusión de la información       
Actualmente trasmitimos la información que nos requieren de los programas por Facebook Twitter y Correos Electrónicos; con el ánimo de fortalecer los posgrados, también se difunden los eventos e información de nuestra oficina con el propósito de dar a conocer las actividades que desde acá impulsamos con el ánimo de apoyar a nuestros graduados.
</t>
  </si>
  <si>
    <t xml:space="preserve">• APP MOVIL: Se proyecta crear una aplicación móvil en dónde podamos como estrategia acercar a todos los graduados de la Universidad Surcolombiana y brindarles todo lo relacionado a beneficios y servicios: 
1. Oferta académica posgradual: Enlace directo a  toda la información de la oferta de Especialización Maestría y Doctorado.
2. Bolsa de empleo: Enlace directo a la plataforma de la bolsa de empleo laborando.usco.edu.co, vacantes, inscripción estudiantes y graduados, etc.
3. Convenios: Información de los convenios actuales con la información pertinente de los beneficios que obtendrán.
4. Carné virtual: Descargar el carné digitando su número de cédula.
5. USCO empresas: dirigida a todos los graduados que han creado empresas y/o negocios y quieran hacer parte de dicha aplicación, actualmente contamos con 120 empresas que quieren hacer parte de la plataforma; el objetivo es estrechar el vínculo Universidad Surcolombiana – Graduado y apoyar sus empresas en la difusión gratuita de los productos y/o servicios generando una red de apoyo que permita mejorar sus ingresos.
• CARNÉ VIRTUAL: Se pone en consideración la implementación del carné virtual como estrategia que permita vincular aún más al graduado,  aprovechando todos los beneficios adquiridos a través de la gestión de la Universidad,  idea de nuestro representante de Graduados Julián Salas y que permitió proyectar la propuesta con 3 argumentos que a continuación enumero:
1. El carné ya no es indispensable portarlo para el ingreso a la Universidad o para acceder a algún convenio, debido a que al ingreso sólo debe estar en línea y a través de un usuario consulta la Universidad o Empresa podrá verificar sus datos y dar ingreso, incluso el mismo graduado puede descargarlo desde su celular;  esto generaría más accesibilidad a los convenios ya que sólo con la cédula de ciudadanía podrían ingresar y/o mostrando su descarga.
2. Al suprimir el uso de carné la Universidad se ahorraría los costos de la producción de más de 1.200 carné por año que actualmente se imprimen en promedio desde la oficina de graduados; con un valor estimado de $4.000.000 en material, más el pago a dos monitores por un valor de $1.500.000
3. Hacer uso de las nuevas tecnologías en favor de la Universidad, además de favorecer el medio ambiente al suprimir la impresión en carné plásticos. 
</t>
  </si>
  <si>
    <t>Exc. Facultad</t>
  </si>
  <si>
    <t>Normativa Institucional</t>
  </si>
  <si>
    <t>MATERIAL PUBLICITARIO PARA II ENCUENTRO DE EGRESADOS FACULTAD DE CIENCIAS EXACTAS</t>
  </si>
  <si>
    <t>2 eventos</t>
  </si>
  <si>
    <t>M2</t>
  </si>
  <si>
    <t xml:space="preserve">CONSTRUCCION DE INFRAESTRUCTURA FISICA DE LA FACULTAD DE EDUCACION </t>
  </si>
  <si>
    <t>42.08</t>
  </si>
  <si>
    <t>130.66</t>
  </si>
  <si>
    <r>
      <rPr>
        <b/>
        <sz val="11"/>
        <color theme="1"/>
        <rFont val="Calibri"/>
        <family val="2"/>
        <scheme val="minor"/>
      </rPr>
      <t xml:space="preserve">1. </t>
    </r>
    <r>
      <rPr>
        <sz val="11"/>
        <color theme="1"/>
        <rFont val="Calibri"/>
        <family val="2"/>
        <scheme val="minor"/>
      </rPr>
      <t xml:space="preserve">MEJORA DE INFRAESTRUCTURA DE AREAS DE LA FACULTAD DE CIENCIAS EXACTAS Y NATURALES .                                                                                                                                                                                         </t>
    </r>
    <r>
      <rPr>
        <b/>
        <sz val="11"/>
        <color theme="1"/>
        <rFont val="Calibri"/>
        <family val="2"/>
        <scheme val="minor"/>
      </rPr>
      <t>2.</t>
    </r>
    <r>
      <rPr>
        <sz val="11"/>
        <color theme="1"/>
        <rFont val="Calibri"/>
        <family val="2"/>
        <scheme val="minor"/>
      </rPr>
      <t xml:space="preserve"> ADECUACIONES DE PLACAS Y GRADERIAS DE LOS POLIDEPORTIVOS DE LA SEDE PITALITO DE LA UNIVERSIDAD SURCOLOMBIANA                                                                                                </t>
    </r>
    <r>
      <rPr>
        <b/>
        <sz val="11"/>
        <color theme="1"/>
        <rFont val="Calibri"/>
        <family val="2"/>
        <scheme val="minor"/>
      </rPr>
      <t>3</t>
    </r>
    <r>
      <rPr>
        <sz val="11"/>
        <color theme="1"/>
        <rFont val="Calibri"/>
        <family val="2"/>
        <scheme val="minor"/>
      </rPr>
      <t>. CONTRATO DE OBRA UC-046 DE 2017. Unidad de Contratación</t>
    </r>
  </si>
  <si>
    <t>MNP</t>
  </si>
  <si>
    <r>
      <rPr>
        <b/>
        <sz val="11"/>
        <color theme="1"/>
        <rFont val="Calibri"/>
        <family val="2"/>
        <scheme val="minor"/>
      </rPr>
      <t>1.</t>
    </r>
    <r>
      <rPr>
        <sz val="11"/>
        <color theme="1"/>
        <rFont val="Calibri"/>
        <family val="2"/>
        <scheme val="minor"/>
      </rPr>
      <t xml:space="preserve">DOTACION PARA LABORATORIO DE FISICA DE LA FACULTAD DE CIENCIAS EXACTAS                   </t>
    </r>
    <r>
      <rPr>
        <b/>
        <sz val="11"/>
        <color theme="1"/>
        <rFont val="Calibri"/>
        <family val="2"/>
        <scheme val="minor"/>
      </rPr>
      <t>2.</t>
    </r>
    <r>
      <rPr>
        <sz val="11"/>
        <color theme="1"/>
        <rFont val="Calibri"/>
        <family val="2"/>
        <scheme val="minor"/>
      </rPr>
      <t xml:space="preserve">COMPRA DE EQUIPOS DE LABORATORIO PARA LA EXTACION SURCOLOMBIANA DE RECURSOS HIDROBIOLOGICOS                                                                                                                  </t>
    </r>
    <r>
      <rPr>
        <b/>
        <sz val="11"/>
        <color theme="1"/>
        <rFont val="Calibri"/>
        <family val="2"/>
        <scheme val="minor"/>
      </rPr>
      <t>3.</t>
    </r>
    <r>
      <rPr>
        <sz val="11"/>
        <color theme="1"/>
        <rFont val="Calibri"/>
        <family val="2"/>
        <scheme val="minor"/>
      </rPr>
      <t>ADQUISICION DE 5 MICROSCOPIOS Y BOMBA EXTRACTORA DE LIQUIDOS PARA LABORATORIO DE MORFOLOGIA</t>
    </r>
  </si>
  <si>
    <t>24.73</t>
  </si>
  <si>
    <t>40.60</t>
  </si>
  <si>
    <r>
      <rPr>
        <b/>
        <sz val="11"/>
        <color theme="1"/>
        <rFont val="Calibri"/>
        <family val="2"/>
        <scheme val="minor"/>
      </rPr>
      <t>1.</t>
    </r>
    <r>
      <rPr>
        <sz val="11"/>
        <color theme="1"/>
        <rFont val="Calibri"/>
        <family val="2"/>
        <scheme val="minor"/>
      </rPr>
      <t xml:space="preserve">DOTACION DE MUEBLES Y EQUIPOS DE OFICINA PARA LAS DIFERENTES OFICINAS DE LA FACULTAD DE CIENCIAS JURIDICAS                                                                                                         </t>
    </r>
    <r>
      <rPr>
        <b/>
        <sz val="11"/>
        <color theme="1"/>
        <rFont val="Calibri"/>
        <family val="2"/>
        <scheme val="minor"/>
      </rPr>
      <t>2</t>
    </r>
    <r>
      <rPr>
        <sz val="11"/>
        <color theme="1"/>
        <rFont val="Calibri"/>
        <family val="2"/>
        <scheme val="minor"/>
      </rPr>
      <t xml:space="preserve">.ADQUISICION DE EQUIPOS DE OFICINA Y SISTEMA DE SONIDO PARA LOS SALONES DEL EDIFICIO DE LA FAC. ECONOMIA                                                                                                                                                    </t>
    </r>
    <r>
      <rPr>
        <b/>
        <sz val="11"/>
        <color theme="1"/>
        <rFont val="Calibri"/>
        <family val="2"/>
        <scheme val="minor"/>
      </rPr>
      <t>3.</t>
    </r>
    <r>
      <rPr>
        <sz val="11"/>
        <color theme="1"/>
        <rFont val="Calibri"/>
        <family val="2"/>
        <scheme val="minor"/>
      </rPr>
      <t xml:space="preserve"> ADQ UISICIÓN DE UPS Y BATERIAS DE REPUESTO PARA FACULTAD DE CIENCIAS SOCIALES Y HUMANAS             </t>
    </r>
  </si>
  <si>
    <t>27.23</t>
  </si>
  <si>
    <t>12.85</t>
  </si>
  <si>
    <r>
      <rPr>
        <b/>
        <sz val="11"/>
        <color theme="1"/>
        <rFont val="Calibri"/>
        <family val="2"/>
        <scheme val="minor"/>
      </rPr>
      <t>1.</t>
    </r>
    <r>
      <rPr>
        <sz val="11"/>
        <color theme="1"/>
        <rFont val="Calibri"/>
        <family val="2"/>
        <scheme val="minor"/>
      </rPr>
      <t xml:space="preserve"> ADQUISICION DE MATERIAL BIBLIOGRAFICO PARA EL PROGRAMA DE DERECHO DE LA FACULTAD DE CIENCIAS JURIDICAS                                                                                                 </t>
    </r>
    <r>
      <rPr>
        <b/>
        <sz val="11"/>
        <color theme="1"/>
        <rFont val="Calibri"/>
        <family val="2"/>
        <scheme val="minor"/>
      </rPr>
      <t>2.</t>
    </r>
    <r>
      <rPr>
        <sz val="11"/>
        <color theme="1"/>
        <rFont val="Calibri"/>
        <family val="2"/>
        <scheme val="minor"/>
      </rPr>
      <t>ADQUISICION DE MATERIAL BIBLIOGRAFICO CON ENFASIS EN LITERATURA INFANTIL CON DESTINO A CENTRO DE INFORMACION Y DOCUMENTACION USCO</t>
    </r>
  </si>
  <si>
    <r>
      <rPr>
        <b/>
        <sz val="11"/>
        <color theme="1"/>
        <rFont val="Calibri"/>
        <family val="2"/>
        <scheme val="minor"/>
      </rPr>
      <t>1.</t>
    </r>
    <r>
      <rPr>
        <sz val="11"/>
        <color theme="1"/>
        <rFont val="Calibri"/>
        <family val="2"/>
        <scheme val="minor"/>
      </rPr>
      <t xml:space="preserve">  MANTENIMIENTO DE EQUIPOS DE LABORATORIO, MUEBLES Y ACCESORIOS Y EQUIPOS DE OFICINA FAC INGENIERIA.                                                                                           </t>
    </r>
    <r>
      <rPr>
        <b/>
        <sz val="11"/>
        <color theme="1"/>
        <rFont val="Calibri"/>
        <family val="2"/>
        <scheme val="minor"/>
      </rPr>
      <t>2</t>
    </r>
    <r>
      <rPr>
        <sz val="11"/>
        <color theme="1"/>
        <rFont val="Calibri"/>
        <family val="2"/>
        <scheme val="minor"/>
      </rPr>
      <t xml:space="preserve">.MANTENIMIENTO DE LOS EQUIPOS DE AMPLIFICACION DE SODIO, CABINAS Y BAFLES DE EXTENSION CULTUTAL                                                                                                               </t>
    </r>
    <r>
      <rPr>
        <b/>
        <sz val="11"/>
        <color theme="1"/>
        <rFont val="Calibri"/>
        <family val="2"/>
        <scheme val="minor"/>
      </rPr>
      <t>3</t>
    </r>
    <r>
      <rPr>
        <sz val="11"/>
        <color theme="1"/>
        <rFont val="Calibri"/>
        <family val="2"/>
        <scheme val="minor"/>
      </rPr>
      <t>.DOTACION DE ACCESORIOS PARA FUNCIONAMIENTO DE EQUIPOS DE OFICINA DE LA FACULTAD DE CIENCIAS JURIDICAS</t>
    </r>
  </si>
  <si>
    <t>SUMINISTRO</t>
  </si>
  <si>
    <t>9.9</t>
  </si>
  <si>
    <t>SUMINISTRO ELEMENTOS DE ASEO Y CAFETERIA</t>
  </si>
  <si>
    <t>ADQUISICION DE LICENCIA ATLAS TI STAND ALONE - SINGLE USER</t>
  </si>
  <si>
    <t xml:space="preserve"> EJECUTADO EN TRIMESTRES ANTERIORES</t>
  </si>
  <si>
    <t>2.4</t>
  </si>
  <si>
    <t>1. SEGUIMIENTO Y OTORGAMIENTO DE CERTIFICACION ISO                                                                           2. SERVICIO DE INSCRIPCION DEL REGISTRO DE GENERADOS RESPEL DEL IDEAM</t>
  </si>
  <si>
    <t>1.2</t>
  </si>
  <si>
    <t xml:space="preserve">1. SEGUIMIENTO Y OTORGAMIENTO DE CERTIFICACION ISO        </t>
  </si>
  <si>
    <t>3.0</t>
  </si>
  <si>
    <t>1.REALIZACION DE LA AUDITORIA DE SEGUIMIENTO BAJO NORMA NTC ISO 9001:2015</t>
  </si>
  <si>
    <t>Relación de capacitaciones area de Talento Humano.</t>
  </si>
  <si>
    <t xml:space="preserve">ABRIL </t>
  </si>
  <si>
    <t xml:space="preserve">MAYO </t>
  </si>
  <si>
    <t xml:space="preserve">JUNIO </t>
  </si>
  <si>
    <t>JULIO</t>
  </si>
  <si>
    <t>AGOSTO</t>
  </si>
  <si>
    <t>SEPTIEMBRE</t>
  </si>
  <si>
    <t xml:space="preserve">TOTAL </t>
  </si>
  <si>
    <t>Para el año 2017 la estrategia de adoptar la problemática del consumo de SPA ha cambiado, se trabajará mas en prevención y se abordará el plan de tratamiento de forma integral.</t>
  </si>
  <si>
    <t>La Actividad de Consulta de Medicina General , los cuales no incluyen las consultas de examen de admisión ni las campañas de actividad de promoción y prevención. Información Según certificación adjunta .</t>
  </si>
  <si>
    <t>La Actividad de Consulta de Medicina General , los cuales no incluyen las consultas de examen de admisión ni las campañas de actividad de promoción y prevención. Información Según certificación adjunta .Registro estadistico SIBUSCO</t>
  </si>
  <si>
    <t>LA COBERTURA REGISTRADA CORRESPODE A LA ATENCION MEDICA, NO INCLUYE LOS BNEEFICIARIOS DE LAS CAMPAÑAS DE PROMOCION Y PREVENCION, COMO SOPORTE ESTA EL REGISTRO DE SIBU, PLANILLAS DE ASISTENCIA Y EL INFORME DEL ÁREA DEL SERVICIO MEDICO.</t>
  </si>
  <si>
    <t>Profesional externa vinculada a través del contrato CPS-326-A2017, Cuyo objeto es prestar el servicio profesional de apoyo al programa de consumo de sustancias Psicoactivas y asesoria a estudiantes en programa de promoción y prevención en salud mental.</t>
  </si>
  <si>
    <t>De acuerdo con los nuevos lineamientos los examenes de ingreso no son obligatorios a partir del 2017-1 por lo tanto se seguiran realizando consultas de diagnostico o determeninación de riesgo a los estudiantes que soliciten el servicio. Por lo que se vera reflejado en las actividades de atención</t>
  </si>
  <si>
    <t xml:space="preserve">Registro estadistico SIBUSCO- De acuerdo a los nuevos lineamientos, los examenes de ingreso no son obligatorios a partir del 21017-1 , por lo tnato se seguiran realizando consultas de diagnosticos y determinacion de riesgo  a los estudiantes de primer semestre que soliciten el servicio por lo que se ve reflejado en la atencion. </t>
  </si>
  <si>
    <t xml:space="preserve">DE IGUAL MANERA DICHOS BENEFICIARIOS MES A MES CORRESPONDEN A LAS ATENCIONES ODONTOLOGICAS REALIZADAS EN LOS MESES MECIONADOS,  LOS SOPORTES DE ESTA ACTIVIDAD SON EL REGISTRO ESTADISTICO EN EL SISTEMA DE BIENESTAR (SIBU) Y LASPLANILLAS DE ASISTENCIA, COMO EN LOS RESPECTIVOS INFORMES </t>
  </si>
  <si>
    <r>
      <t xml:space="preserve">Los indicadores reportados durante los meses de Abril, Mayo y Junio de 2017, se alcanzaron durante la ejecución de las siguientes actividades, con los respectivos asistentes </t>
    </r>
    <r>
      <rPr>
        <b/>
        <sz val="10"/>
        <color theme="1"/>
        <rFont val="Calibri"/>
        <family val="2"/>
        <scheme val="minor"/>
      </rPr>
      <t xml:space="preserve">Abril: </t>
    </r>
    <r>
      <rPr>
        <sz val="10"/>
        <color theme="1"/>
        <rFont val="Calibri"/>
        <family val="2"/>
        <scheme val="minor"/>
      </rPr>
      <t xml:space="preserve">Dimensión Emocional (1285), Dimensión Alimentaria (220), Dimensión Clínica (31), Dimensión Física (191). </t>
    </r>
    <r>
      <rPr>
        <b/>
        <sz val="10"/>
        <color theme="1"/>
        <rFont val="Calibri"/>
        <family val="2"/>
        <scheme val="minor"/>
      </rPr>
      <t>Mayo:</t>
    </r>
    <r>
      <rPr>
        <sz val="10"/>
        <color theme="1"/>
        <rFont val="Calibri"/>
        <family val="2"/>
        <scheme val="minor"/>
      </rPr>
      <t xml:space="preserve"> Dimensión Emocional (841), Dimensión Alimentaria (732), Dimensión Clínica (27) Dimensión Física (323), Jornadas (45) Investigación (102)</t>
    </r>
  </si>
  <si>
    <t xml:space="preserve">Se aumentó las solicitudes de citas, siendo importante las remisiones de alertas tempranas para así mismo darle seguimiento a las dificultades presentadas por los estudiantes.Dentro de las actividades adelantas desde el servicio de psicología, se desarrollaron 4 para el semestre, estas son   propuestas desde las necesidades reportadas institucionalmente por las principales impresiones diagnosticas identificadas por el servicio de Psicología de la Universidad. 
Estas campañas son: Prevención del Bullying, Equidad de Género, Prevención del Consumo de SPA, Promoción de la Salud Mental (Felicidad Vs Depresión) y Prevención de Sexualidad de Alto Riesgo (VIH).
</t>
  </si>
  <si>
    <t>Registro estadistico SIBUSCO</t>
  </si>
  <si>
    <t xml:space="preserve">DE IGUAL MANERA DICHOS BENEFICIARIOS MES A MES CORRESPONDEN A LAS ATENCIONES PSICOLOGICAS REALIZADAS EN LOS MESES MECIONADOS,  LOS SOPORTES DE ESTA ACTIVIDAD SON EL REGISTRO ESTADISTICO EN EL SISTEMA DE BIENESTAR (SIBU) Y LASPLANILLAS DE ASISTENCIA, COMO EN LOS RESPECTIVOS INFORMES </t>
  </si>
  <si>
    <t xml:space="preserve">ACTIVIDADES CLIMA ORGANIZACIONAL </t>
  </si>
  <si>
    <t>Recurso asignado a las Facultades ´para Clima Organizacional y cuya ejecución y responsables corresponden a las mismas.</t>
  </si>
  <si>
    <t>ESTA ACTIVIDAD SE DESARROLLO DURANTE EL MES DE JUNIO, CON LOS DOCENTES DE LA FACULTAD  DE INGENIERIA.</t>
  </si>
  <si>
    <t>beneficiarios de Campañas de prevención del CSPA</t>
  </si>
  <si>
    <t>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t>
  </si>
  <si>
    <t xml:space="preserve">Planillas de asistencia, registro fotografico, se logra crear el comité de conviviencia de la plaza Jaime Garzón donde se adelantan activiades que se centran en las buenas practicas con el objetivo de menguar la practica del consumo. </t>
  </si>
  <si>
    <t>PLANILLAS DE ASISTENCIA, REGISTRO FOTOGRAFICO, REGISTRO ESTIDISTICO EN EL SIBU, COMO CAMPAÑA DE PYP, Y EN LOS RESPECTIVOS INFORMES DEL ÁREA.</t>
  </si>
  <si>
    <t>Impartido en el Pirmer Trimestre del Semestre 2017-1</t>
  </si>
  <si>
    <t>Actividades</t>
  </si>
  <si>
    <t>Los acompañamiento hace referencia al número de encuentros con los estudiantes en condición de discapacidad.</t>
  </si>
  <si>
    <r>
      <t xml:space="preserve">los indicadores reportados durante los meses de julio, Agosto, Septiembre, se alcanzaron durante la ejecucion de las siguientes actividades, con los respetivos asistentes: </t>
    </r>
    <r>
      <rPr>
        <b/>
        <sz val="10"/>
        <color theme="1"/>
        <rFont val="Calibri"/>
        <family val="2"/>
        <scheme val="minor"/>
      </rPr>
      <t xml:space="preserve">Agosto </t>
    </r>
    <r>
      <rPr>
        <sz val="10"/>
        <color theme="1"/>
        <rFont val="Calibri"/>
        <family val="2"/>
        <scheme val="minor"/>
      </rPr>
      <t xml:space="preserve">dimension emocional (886), Dimension alimentaria (180), dimension Clinica (75), Dimision Fisica (71).   </t>
    </r>
    <r>
      <rPr>
        <b/>
        <sz val="10"/>
        <color theme="1"/>
        <rFont val="Calibri"/>
        <family val="2"/>
        <scheme val="minor"/>
      </rPr>
      <t xml:space="preserve">Septiembre: </t>
    </r>
    <r>
      <rPr>
        <sz val="10"/>
        <color theme="1"/>
        <rFont val="Calibri"/>
        <family val="2"/>
        <scheme val="minor"/>
      </rPr>
      <t>Dimension Emocional (1204), Dimension alimentaria (85), Dimension Fsisica (209) y jornadas (242)</t>
    </r>
  </si>
  <si>
    <r>
      <t xml:space="preserve"> LOS INDICADORES REPORTADOS DURANTE LOS MESES DE OCTUBRE, NOVIEMBRE, Y DICIEMBRE, DE 2017 SE ALCARAZON DURANTE LA EJECUCIÓN DE LAS SIGUIENTES ACTIVIDADES, CON LOS RESPECTIVOS ASISTENTES:  </t>
    </r>
    <r>
      <rPr>
        <b/>
        <sz val="10"/>
        <color theme="1"/>
        <rFont val="Calibri"/>
        <family val="2"/>
        <scheme val="minor"/>
      </rPr>
      <t xml:space="preserve">OCTUBRE: </t>
    </r>
    <r>
      <rPr>
        <sz val="10"/>
        <color theme="1"/>
        <rFont val="Calibri"/>
        <family val="2"/>
        <scheme val="minor"/>
      </rPr>
      <t xml:space="preserve">DIMENSIÓN EMOCIONAL (1.072) DIMESION ALIMETARIA (695), DIMENSION CLINICA (43), DIMESION FISICA (102),  Y JORNADA VALORATE USCO (42) . EN </t>
    </r>
    <r>
      <rPr>
        <b/>
        <sz val="10"/>
        <color theme="1"/>
        <rFont val="Calibri"/>
        <family val="2"/>
        <scheme val="minor"/>
      </rPr>
      <t>NOVIEMBRE</t>
    </r>
    <r>
      <rPr>
        <sz val="10"/>
        <color theme="1"/>
        <rFont val="Calibri"/>
        <family val="2"/>
        <scheme val="minor"/>
      </rPr>
      <t xml:space="preserve"> SE DESARROLLO LA DIMENSION EMOCIONAL (267), DIMENSION  ALIMENTARIA (44) DIMENSION CLINICA (45) DIMENSION FISCA (117) Y JORNADAS VALORATE USCO (190)</t>
    </r>
  </si>
  <si>
    <t>Medición mensual, son talleres de sensibilización dirigidos a estudiantes de 1 semestre, la inducción y reinducción a Docentes, Administrativos y contratistas</t>
  </si>
  <si>
    <t>Programación mensual , no se  han establecido la linea base y meta resultado 2017 porque  se realizando el empadronamiento censal  a los estudiantes para identificar la población con diversidad funcional, en donde se hace un acercamiento a cada estudiante en condición de discapacidad física para recolectar la información requerida en el registro de  "localización y  caracterización de personas con discapacidad.</t>
  </si>
  <si>
    <t>en el ultimo trimestre no se realizan caracterizacion, esta actividad ya se desarrolló en los primeros meses del semestre.</t>
  </si>
  <si>
    <t>se realizo el acompañamiento academico  a cinco estudiantes en el cuarto trimestre, soporte el informe reportado por el profesional Julian Cantillo</t>
  </si>
  <si>
    <t>durante este ultimo trimestre del año no se realizaron talleres desensibilizacion</t>
  </si>
  <si>
    <t>Este indicador con respecto a la cobertura de beneficiarios se mide semestral.</t>
  </si>
  <si>
    <t xml:space="preserve">el indicador de cobertura es semestral </t>
  </si>
  <si>
    <t>este indicdor es semestral y permite conocer el total de participantes del as actividades desarrolladas en Coordinación de Deportes, el soporte de dicha cobertura, son el registro estadistico de SIBU, registro fotogrrafico y el informe semestral presentado por la coordinadora del Área.</t>
  </si>
  <si>
    <t>Las actividades son de medición mensual. Articular las diferentes actividades deportivas que realizan los programas, con la Coordinación de deportes adscrita al Área de Bienestar Institucional, con fines de consolidar la información y dar una respuesta la SUE y SNIES.</t>
  </si>
  <si>
    <t xml:space="preserve">Durante los meses de Julio a Septiembre se desarrollaron el total 48 Actividades, de resaltar que durante el mes de Julio se realizaron pocas actividadades debido a que los estudiantes retoman actividades  academicas. </t>
  </si>
  <si>
    <t xml:space="preserve">Se apoyaron a los diferentes programas con hidratación y juzgamiento,  se participo en los Juegos Nacionales Univesitarios realizados en  Tunja (Boyaca),  participación  de  los Juegos Municipales en las disciplinas  de fútbol, baloncesto (M-F), Voleibol (M-F), Futsala (M-F), Ajedrez (M-F),  Tenis de mesa, tenis de campo y   Los eventos que se desarrollaron en el mes de diciembre tuvieron gran acogida. , vacaciones recreativas,  y se finaliza el torneo de minifutbo para doc, adm.   A satisfaccion de los participantes.         </t>
  </si>
  <si>
    <t xml:space="preserve">
BIENESTAR
</t>
  </si>
  <si>
    <r>
      <rPr>
        <b/>
        <sz val="10"/>
        <color theme="1"/>
        <rFont val="Calibri"/>
        <family val="2"/>
        <scheme val="minor"/>
      </rPr>
      <t>Abril</t>
    </r>
    <r>
      <rPr>
        <sz val="10"/>
        <color theme="1"/>
        <rFont val="Calibri"/>
        <family val="2"/>
        <scheme val="minor"/>
      </rPr>
      <t xml:space="preserve">: Puestas en escena (31) y Cne Club (14), </t>
    </r>
    <r>
      <rPr>
        <b/>
        <sz val="10"/>
        <color theme="1"/>
        <rFont val="Calibri"/>
        <family val="2"/>
        <scheme val="minor"/>
      </rPr>
      <t xml:space="preserve">Mayo: </t>
    </r>
    <r>
      <rPr>
        <sz val="10"/>
        <color theme="1"/>
        <rFont val="Calibri"/>
        <family val="2"/>
        <scheme val="minor"/>
      </rPr>
      <t xml:space="preserve">Puestas en escena (55) y Cine Club (67)  </t>
    </r>
    <r>
      <rPr>
        <b/>
        <sz val="10"/>
        <color theme="1"/>
        <rFont val="Calibri"/>
        <family val="2"/>
        <scheme val="minor"/>
      </rPr>
      <t xml:space="preserve">Junio:  </t>
    </r>
    <r>
      <rPr>
        <sz val="10"/>
        <color theme="1"/>
        <rFont val="Calibri"/>
        <family val="2"/>
        <scheme val="minor"/>
      </rPr>
      <t>Puestas en escena (18)  y Cine Club (2)</t>
    </r>
  </si>
  <si>
    <t xml:space="preserve">Nos  permitimos informarle que el consejo Superior de la universidad Surcolombiana, realizo un acuerdo el cual es el 015 de 2016 del 13 de Mayo donde aprueba el cambio de las lineas bases a calificar tanto  las puestas en escenas, talleres y grupos para medir la oficina de extensión Cultural.  como soportes se tienen las planillas de asistencias y registro fotografico. </t>
  </si>
  <si>
    <t>133 Puesta En Escenas:  Festival CinExcusa.  *Feria De La Surcolombianidad.    * Celebración del Halloween con los niños Síndrome de Down.    *Semana Cultural del Municipio de San Agustin- Grupo Invitado Mayarí. *Seminario Internacional Uso Racional del Agua "USRA". *Presentación Festival en Universidades - AVERTEATRO. *Clima Organizacional- Administrativos. *USco Se Viste Navidad- Administrativos</t>
  </si>
  <si>
    <t>Ténica Vocal, Taller de Guitarra, Vientos andinos, Danzas, Teatro, Maquillaje artisticos, Percusión Latinoamericana, Percusión Folclórica, como hablar en público, fotografía y de Oratoría, entrenamiento corporal nivel 1 y 2, San Juanero Huilense.</t>
  </si>
  <si>
    <t>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t>
  </si>
  <si>
    <t>Jornada academica y cultural para el mejoramiento del Clima Organizacional en la Universidad Surcolombiana con ocasión del día de la secretaria (150). Actividad Cultual y de integración de la Comunidad Universitaria (800), Evento Cultural con ocasión del dia del maestro (600)</t>
  </si>
  <si>
    <r>
      <t xml:space="preserve">En el mes </t>
    </r>
    <r>
      <rPr>
        <sz val="10"/>
        <color theme="1"/>
        <rFont val="Calibri"/>
        <family val="2"/>
        <scheme val="minor"/>
      </rPr>
      <t xml:space="preserve">  </t>
    </r>
    <r>
      <rPr>
        <b/>
        <sz val="10"/>
        <color theme="1"/>
        <rFont val="Calibri"/>
        <family val="2"/>
        <scheme val="minor"/>
      </rPr>
      <t>Agosto</t>
    </r>
    <r>
      <rPr>
        <sz val="10"/>
        <color theme="1"/>
        <rFont val="Calibri"/>
        <family val="2"/>
        <scheme val="minor"/>
      </rPr>
      <t xml:space="preserve"> se Apoyo a actividades de clima organizacional, docentes, estudiantes y administrativos Facultad de Educación. Y durante el mes de</t>
    </r>
    <r>
      <rPr>
        <b/>
        <sz val="10"/>
        <color theme="1"/>
        <rFont val="Calibri"/>
        <family val="2"/>
        <scheme val="minor"/>
      </rPr>
      <t xml:space="preserve"> Septiembre</t>
    </r>
    <r>
      <rPr>
        <sz val="10"/>
        <color theme="1"/>
        <rFont val="Calibri"/>
        <family val="2"/>
        <scheme val="minor"/>
      </rPr>
      <t xml:space="preserve"> se 1. Apoyo económico para evento de integración lúdica y cultural 18 años de la FACIEN </t>
    </r>
  </si>
  <si>
    <t>En el mes de Diciembre se desarrollaron dos grandes eventos, uno llamado "la usco se viste de navidad" en la cual estudiantes, trabajadores administrativos de contrato o planta, docentes,  y graduados participaron cantando villancincos y degustan del a tradicional natilla y bueñuelo. de igual manera en el mes de Diciembre se desarrollo la fiesta de fin de año con los docentes, administrativos, pensionados.</t>
  </si>
  <si>
    <r>
      <t xml:space="preserve">En el mes de </t>
    </r>
    <r>
      <rPr>
        <b/>
        <sz val="10"/>
        <color theme="1"/>
        <rFont val="Calibri"/>
        <family val="2"/>
        <scheme val="minor"/>
      </rPr>
      <t>Julio</t>
    </r>
    <r>
      <rPr>
        <sz val="10"/>
        <color theme="1"/>
        <rFont val="Calibri"/>
        <family val="2"/>
        <scheme val="minor"/>
      </rPr>
      <t xml:space="preserve"> se realizo integración en el área de Bienestar Universitrario, se apoyo en la Integracion de Vigilantes, y Conductores, de</t>
    </r>
    <r>
      <rPr>
        <b/>
        <sz val="10"/>
        <color theme="1"/>
        <rFont val="Calibri"/>
        <family val="2"/>
        <scheme val="minor"/>
      </rPr>
      <t xml:space="preserve"> Septiembre</t>
    </r>
    <r>
      <rPr>
        <sz val="10"/>
        <color theme="1"/>
        <rFont val="Calibri"/>
        <family val="2"/>
        <scheme val="minor"/>
      </rPr>
      <t xml:space="preserve"> se realizo el  Encuentro de la canción de Administrativos, Docentes y Egresados.</t>
    </r>
  </si>
  <si>
    <t>Meriendas Sede Neiva</t>
  </si>
  <si>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t>
    </r>
    <r>
      <rPr>
        <b/>
        <sz val="10"/>
        <color theme="1"/>
        <rFont val="Calibri"/>
        <family val="2"/>
        <scheme val="minor"/>
      </rPr>
      <t xml:space="preserve">UC-009-2017, </t>
    </r>
    <r>
      <rPr>
        <sz val="10"/>
        <color theme="1"/>
        <rFont val="Calibri"/>
        <family val="2"/>
        <scheme val="minor"/>
      </rPr>
      <t xml:space="preserve">El número de raciones proyectadas  segundo trimestre  </t>
    </r>
    <r>
      <rPr>
        <b/>
        <sz val="10"/>
        <color theme="1"/>
        <rFont val="Calibri"/>
        <family val="2"/>
        <scheme val="minor"/>
      </rPr>
      <t>135.500</t>
    </r>
    <r>
      <rPr>
        <sz val="10"/>
        <color theme="1"/>
        <rFont val="Calibri"/>
        <family val="2"/>
        <scheme val="minor"/>
      </rPr>
      <t xml:space="preserve">, versus las efectivamente entregadas </t>
    </r>
    <r>
      <rPr>
        <b/>
        <sz val="10"/>
        <color theme="1"/>
        <rFont val="Calibri"/>
        <family val="2"/>
        <scheme val="minor"/>
      </rPr>
      <t>173.841  (145%). cantidad entregadas en el primer trimestre corresponden a un 32% del total año.</t>
    </r>
  </si>
  <si>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Contrato </t>
    </r>
    <r>
      <rPr>
        <b/>
        <sz val="10"/>
        <color theme="1"/>
        <rFont val="Calibri"/>
        <family val="2"/>
        <scheme val="minor"/>
      </rPr>
      <t>UC-009-2017</t>
    </r>
    <r>
      <rPr>
        <sz val="10"/>
        <color theme="1"/>
        <rFont val="Calibri"/>
        <family val="2"/>
        <scheme val="minor"/>
      </rPr>
      <t>, El número de raciones proyectadas  tercer trimestre,</t>
    </r>
    <r>
      <rPr>
        <b/>
        <sz val="10"/>
        <color theme="1"/>
        <rFont val="Calibri"/>
        <family val="2"/>
        <scheme val="minor"/>
      </rPr>
      <t xml:space="preserve"> 141060</t>
    </r>
    <r>
      <rPr>
        <sz val="10"/>
        <color theme="1"/>
        <rFont val="Calibri"/>
        <family val="2"/>
        <scheme val="minor"/>
      </rPr>
      <t xml:space="preserve">  versus las efectivamente entregadas  </t>
    </r>
    <r>
      <rPr>
        <b/>
        <sz val="10"/>
        <color theme="1"/>
        <rFont val="Calibri"/>
        <family val="2"/>
        <scheme val="minor"/>
      </rPr>
      <t>151466</t>
    </r>
    <r>
      <rPr>
        <sz val="10"/>
        <color theme="1"/>
        <rFont val="Calibri"/>
        <family val="2"/>
        <scheme val="minor"/>
      </rPr>
      <t xml:space="preserve"> (107%).</t>
    </r>
  </si>
  <si>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Contrato </t>
    </r>
    <r>
      <rPr>
        <b/>
        <sz val="10"/>
        <color theme="1"/>
        <rFont val="Calibri"/>
        <family val="2"/>
        <scheme val="minor"/>
      </rPr>
      <t>UC-009-2017</t>
    </r>
    <r>
      <rPr>
        <sz val="10"/>
        <color theme="1"/>
        <rFont val="Calibri"/>
        <family val="2"/>
        <scheme val="minor"/>
      </rPr>
      <t>,</t>
    </r>
  </si>
  <si>
    <r>
      <t>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t>
    </r>
    <r>
      <rPr>
        <b/>
        <sz val="10"/>
        <color theme="1"/>
        <rFont val="Calibri"/>
        <family val="2"/>
        <scheme val="minor"/>
      </rPr>
      <t xml:space="preserve"> 100% </t>
    </r>
    <r>
      <rPr>
        <sz val="10"/>
        <color theme="1"/>
        <rFont val="Calibri"/>
        <family val="2"/>
        <scheme val="minor"/>
      </rPr>
      <t xml:space="preserve">respecto a lo proyectado en el trimestre y    un </t>
    </r>
    <r>
      <rPr>
        <b/>
        <sz val="10"/>
        <color theme="1"/>
        <rFont val="Calibri"/>
        <family val="2"/>
        <scheme val="minor"/>
      </rPr>
      <t>45%</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</si>
  <si>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Pitalito de la Universidad Surcolombiana,  Contrato UC-008-2017, el numero de raciones proyectadas tercer trimestre,  </t>
    </r>
    <r>
      <rPr>
        <b/>
        <sz val="10"/>
        <color theme="1"/>
        <rFont val="Calibri"/>
        <family val="2"/>
        <scheme val="minor"/>
      </rPr>
      <t>22360</t>
    </r>
    <r>
      <rPr>
        <sz val="10"/>
        <color theme="1"/>
        <rFont val="Calibri"/>
        <family val="2"/>
        <scheme val="minor"/>
      </rPr>
      <t xml:space="preserve">   versus las efectivamente entregadas </t>
    </r>
    <r>
      <rPr>
        <b/>
        <sz val="10"/>
        <color theme="1"/>
        <rFont val="Calibri"/>
        <family val="2"/>
        <scheme val="minor"/>
      </rPr>
      <t>21840</t>
    </r>
    <r>
      <rPr>
        <sz val="10"/>
        <color theme="1"/>
        <rFont val="Calibri"/>
        <family val="2"/>
        <scheme val="minor"/>
      </rPr>
      <t xml:space="preserve">  </t>
    </r>
    <r>
      <rPr>
        <b/>
        <sz val="10"/>
        <color theme="1"/>
        <rFont val="Calibri"/>
        <family val="2"/>
        <scheme val="minor"/>
      </rPr>
      <t>(98%).</t>
    </r>
  </si>
  <si>
    <t>Corresponden al suministro de alimentarias y/o meriendas, mediante el sistema subsidiado, con destinos a los estudiantes matriculados de la Sede de Pitalito de la Universidad Surcolombiana,  Contrato UC-008-2017,</t>
  </si>
  <si>
    <r>
      <t>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t>
    </r>
    <r>
      <rPr>
        <b/>
        <sz val="10"/>
        <color theme="1"/>
        <rFont val="Calibri"/>
        <family val="2"/>
        <scheme val="minor"/>
      </rPr>
      <t xml:space="preserve"> 118%</t>
    </r>
    <r>
      <rPr>
        <sz val="10"/>
        <color theme="1"/>
        <rFont val="Calibri"/>
        <family val="2"/>
        <scheme val="minor"/>
      </rPr>
      <t xml:space="preserve"> respecto a lo proyectado en el trimestre y    un</t>
    </r>
    <r>
      <rPr>
        <b/>
        <sz val="10"/>
        <color theme="1"/>
        <rFont val="Calibri"/>
        <family val="2"/>
        <scheme val="minor"/>
      </rPr>
      <t xml:space="preserve"> 47%</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</si>
  <si>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Garzón el numero de raciones proyectadas tercer trimestre,   </t>
    </r>
    <r>
      <rPr>
        <b/>
        <sz val="10"/>
        <color theme="1"/>
        <rFont val="Calibri"/>
        <family val="2"/>
        <scheme val="minor"/>
      </rPr>
      <t xml:space="preserve"> 7740</t>
    </r>
    <r>
      <rPr>
        <sz val="10"/>
        <color theme="1"/>
        <rFont val="Calibri"/>
        <family val="2"/>
        <scheme val="minor"/>
      </rPr>
      <t xml:space="preserve"> versus las efectivamente entregadas   </t>
    </r>
    <r>
      <rPr>
        <b/>
        <sz val="10"/>
        <color theme="1"/>
        <rFont val="Calibri"/>
        <family val="2"/>
        <scheme val="minor"/>
      </rPr>
      <t xml:space="preserve">7560  </t>
    </r>
    <r>
      <rPr>
        <sz val="10"/>
        <color theme="1"/>
        <rFont val="Calibri"/>
        <family val="2"/>
        <scheme val="minor"/>
      </rPr>
      <t xml:space="preserve"> </t>
    </r>
    <r>
      <rPr>
        <b/>
        <sz val="10"/>
        <color theme="1"/>
        <rFont val="Calibri"/>
        <family val="2"/>
        <scheme val="minor"/>
      </rPr>
      <t>(90%)</t>
    </r>
    <r>
      <rPr>
        <sz val="10"/>
        <color theme="1"/>
        <rFont val="Calibri"/>
        <family val="2"/>
        <scheme val="minor"/>
      </rPr>
      <t>.</t>
    </r>
    <r>
      <rPr>
        <b/>
        <sz val="11"/>
        <color theme="1"/>
        <rFont val="Calibri"/>
        <family val="2"/>
        <scheme val="minor"/>
      </rPr>
      <t>Contrato UC-008-2017</t>
    </r>
  </si>
  <si>
    <r>
      <t xml:space="preserve">Corresponden al suministro de alimentarias y/o meriendas, mediante el sistema subsidiado, con destinos a los estudiantes matriculados de la Sede de Garzón </t>
    </r>
    <r>
      <rPr>
        <b/>
        <sz val="11"/>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</si>
  <si>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t>
    </r>
    <r>
      <rPr>
        <b/>
        <sz val="10"/>
        <color theme="1"/>
        <rFont val="Calibri"/>
        <family val="2"/>
        <scheme val="minor"/>
      </rPr>
      <t>123%</t>
    </r>
    <r>
      <rPr>
        <sz val="10"/>
        <color theme="1"/>
        <rFont val="Calibri"/>
        <family val="2"/>
        <scheme val="minor"/>
      </rPr>
      <t xml:space="preserve"> respecto a lo proyectado en el trimestre y    un </t>
    </r>
    <r>
      <rPr>
        <b/>
        <sz val="10"/>
        <color theme="1"/>
        <rFont val="Calibri"/>
        <family val="2"/>
        <scheme val="minor"/>
      </rPr>
      <t xml:space="preserve">40% </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</si>
  <si>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t>
    </r>
    <r>
      <rPr>
        <b/>
        <sz val="11"/>
        <color theme="1"/>
        <rFont val="Calibri"/>
        <family val="2"/>
        <scheme val="minor"/>
      </rPr>
      <t>Contrato UC-008-2017</t>
    </r>
  </si>
  <si>
    <t xml:space="preserve">ESTUDIOSY ASESORIAS </t>
  </si>
  <si>
    <t>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t>
  </si>
  <si>
    <t xml:space="preserve">El 23 de Agosto se recibido la resolucion  de 238 solicitudes de estudiantes que efectuaran estudios socieconomicos, se realizo la lectura de todas las soliciutdes efectuando una matriz en xel en la cual estan los datros de los estudiantes que solicitan, que documentos adjuntan, o que se observa en los documentos y el concepto. En Agosot se realizaron 41 entrevistas y en Septiembre 145 y 30 visitas domiciliarias.  </t>
  </si>
  <si>
    <t xml:space="preserve">EN EL MEMORANDO 241 DE LA OFICINA DE GRUPO DE LIQUIDACIONES DE DERECHOS PECUNARIOS EN EL CRONOGRAMA SE ACORDO LA ENTREGA DEL INFORME EL 25 DE SEP DEL 2017 EN DICHA FECHA CUMPLIENDO CON EL MANUAL DE PROCEDIMINETO , SE CONOVÓ A REUNION EL COMTE DE ESTUDIO SOCIECONOMICO PARA DEBATE Y APROBACION DE LAS SOLICITUDES PRESENTADASY SE ELABORAN LAS RESPECTIVAS ACTAS. LA PUBLICACION SE REALIZO EL 16 DE NOVIEMBRE CON PLAZO DE PAGO AL 21 DE NOVIEMBRE. </t>
  </si>
  <si>
    <t>Proyecto ejecutado presupuestalmente en un 97% en el primer trimestre, por lo cual no genero indicador</t>
  </si>
  <si>
    <r>
      <t xml:space="preserve">Cartas de compromisos de los estudiantes Juan Pablo Paredes Cabrera, como Judicante de la Oficna Juridica </t>
    </r>
    <r>
      <rPr>
        <b/>
        <sz val="10"/>
        <color theme="1"/>
        <rFont val="Calibri"/>
        <family val="2"/>
        <scheme val="minor"/>
      </rPr>
      <t>(Agosto) ,</t>
    </r>
    <r>
      <rPr>
        <sz val="10"/>
        <color theme="1"/>
        <rFont val="Calibri"/>
        <family val="2"/>
        <scheme val="minor"/>
      </rPr>
      <t xml:space="preserve"> y la estudiante Veronica Hurtado Cortes  de  Ingeniraria Electronica como Practicante en la Oficina de  Carnetizacion </t>
    </r>
    <r>
      <rPr>
        <b/>
        <sz val="10"/>
        <color theme="1"/>
        <rFont val="Calibri"/>
        <family val="2"/>
        <scheme val="minor"/>
      </rPr>
      <t>(Septiembre)</t>
    </r>
  </si>
  <si>
    <t>DE ACUERDO A LA DISPONIBILIDAD PRESUPUESTAL, NO SE REALIZARON VINCULACIÓN A ESTUDIANTES EN LOS PROCESOS ACADEMICOS.</t>
  </si>
  <si>
    <t>EL GRUPO DE INVESITIGACION PACA CATEGORIA A DE COLCIENCIAS, ACLARO QUE LOS DATOS DE LOS AÑOS 015 A 2017 SE REALIZARON CON BASE EN LA INFORMACION REAL QUE SIRVE COMO BASE PARA PROYECTAR LA PERMANENCIA ESTUDIANTIL EN LOS PROGRAMASDE PREGRADO. LA INFORMACION REGISTRA DUARANTE LOS MESES ANTERIORES,  ES SUMINISTRADA POR EL COORDINADOR DEL PROYECTO DE INVESTIGACION EN EL INFORM MENSUAL NUMERO 7 (NOV 2017)</t>
  </si>
  <si>
    <t>RESULTADOSA ACCIONES REALIZADAS</t>
  </si>
  <si>
    <t>AVANCE META</t>
  </si>
  <si>
    <t>1 - Compra de equipo para Cromatografía Líquida de Alta Resolución (HPLC), PARA EL DESARROLLO DE ACTIVIDADES DEL PROYECTO “CAFES - Coffee From Advanced Fermentation, Engineering and Sensing” firmado entre la Universidad de Manchester, Universidad de los Andes y Universidad Surcolombiana.
2 - Equipo laboratorio de biologia celular: Sistema ininterrumpido de potencia U.P.S; Marca: PEI; Referencia: 7614PEI104MONOF
3 - REACTIVOS investigación del laboratorio de biología celular - Cámara de Electroforesis Horizontal Modelo H4 con cubetas para geles de 20x25cm, 2 gel casting dams en aluminio, peine de 20 dientes de 1mm de grosor, conectores y manual. Biometra
4 - REACTIVOS investigación del laboratorio de biología celular - TaqMan MicroRNA Reverse Transcription Kit x200Rxns. Los componentes de este kit se utilizan con la cartilla de RT proporcionada con el ensayo de MicroRNA TaqMan para convertir miRNA a cDNA. Marca AB - LIFE TECHNOLOGIES: CONTRATO VIPS  208-A2017
5 - Compra de equipos e insumos para la observación de muestras para el desarrollo de proyectos de investigación del centro CESURCAFÉ: Empacadora vacio 42x44x8 1.5KW 220V
6 - Equipos de cómputo de tecnología de punta para el laboratorio de neurocogniciòn y psicofisiológica Piedad Gooding Londoño: HP 400 G2 AiO Altura Ajustable 20" HD LED Anti-Glare Intel Core i7-6700 (Up to 4.0 GHz) 1 TB 7200 RPM 16 GB DDR4 2133 MHz Microsoft Windows® 10 Pro 3-3-3
7 - Equipos de cómputo de tecnología de punta para el laboratorio de neurocogniciòn y psicofisiológica Piedad Gooding Londoño: HP ProBook 440 G4, Intel® Core™ i7-7500U, Windows® 10 Professional 64, No,RT bgn 1x1 +BT 4.0 WW, 16GB 2133 DDR4,HDD 1TB 5400RPM SATA,LCD 14 HD AG LED SVA fHDC slim 1Ant,No ODD.
8 - Entregar a título de venta instrumentos para el laboratorio de Neurocognición y Psicofisiología "Piedad Gooding Londoño": CAP S64 - HEADCAP SMALL (YELLOW) LAYOUT: 10/20 WITH 64 ELECTRODE HOLDERS SET X 2</t>
  </si>
  <si>
    <t xml:space="preserve"> Adquisición y renovación de  licencias software Y bases de datos especializadas  para  actividades de investigaciòn:
Acceso y uso a las bases de datos: 
1 - Science Direct 
2 - eBooks Legacy 
3 - Compendex 
4 - Scopus 
5 - Reaxys 
6 - Embase
7 - Clinics de la casa editorial holandesa Elsevier B.V.</t>
  </si>
  <si>
    <t>Se apoyó a 30 docentes para formación de alto nivel:
FACULTAD DE ECONOMÍA Y ADMINISTRACIÓN:
1. CRISTIAN ARNOLDO RAMIREZ CASTRILLON - Doctorado en Estudios Territoriales en la Universidad de Caldas
2. LUIS ALFREDO MUÑOZ VELASCO - Doctorado en Desarrollo Sostenible en la Universidad de Manizales
3. JENNY LISSETH AVENDAÑO LOPEZ - Doctorado en Ciencias Sociales Niñez y Juventud en la Universidad de Manizales en la alianza CINDE
4. JOSE JARDANI GIRALDO URIBE - Doctorado en Desarrollo Sostenible en la Universidad de Manizales
5. GERMAN DARIO HEMBUZ - Doctorado en Ciencias Sociales Niñez y Juventud que curso en la Universidad de Manizales con el Convenio CINDE
6. ALEXANDER QUINTERO BONILLA - Doctorado en Administración en la UNIVERSIDAD EAFIT
7. PATRICIA GUTIERREZ PRADA - Doctorado de Modelado en Política y Gestión Pública en la Universidad FUNDACIÓN UNIVERSIDAD DE BOGOTÁ JORGE TADEO LOZANO
8. FRANCISCO JOSE MUÑOZ ORDOÑEZ - Doctorado en Agroindustria y Desarrollo Agrícola Sostenible
9. ALBERTO DUCUARA MANRIQUE - Doctorado en Agroindustria y Desarrollo Agrícola Sostenible en la UNIVERSIDAD SURCOLOMBIANA
FACULTAD DE EDUCACIÓN:
1. ELIAS FRANCISCO AMORTEGUI CEDEÑO - Doctorado en Didáctica Especificas en la Universidad de Valencia – España
2. LADYS JIMENEZ TORRES - Doctorado en Literatura en la Universidad de Antioquia
3. LISSETH SUGEY ROJAS BARRETO - Doctorado en Educación con la Universidad Autónoma de Madrid
4. NERCY GUTIERREZ CARDOSO - Doctorado en Ciencia de la Educación
5. ZULLY CUELLAR LOPEZ - Doctorado en educación en la Universidad Autónoma de Madrid – España
6. SONIA AMPARO SALAZAR ARISTIZABAL - Doctorado en Educación en la UNVIERSIDAD DE DEUSTO DEUSTUKO UNIBERTSITATEA
7. FERNANDO GALINDO PERDOMO - Doctorado en Actividad Física y Deporte en la Universidad de Valencia
8. FREDY ALBERTO MIER LOGATO - Doctorado en Lingüística en la Universidad de Antioquia
9. JOSE LEONARDO RUIZ MENDEZ - Doctorado en Educación y Cultura Ambiental en la Universidad Surcolombiana
10. LEIDY CAROLINA CUERVO - Doctorado en Investigación y Docencia en la UNIVERSIDAD AMERICANA DE EUROPA AC
11. MAURICIO PENAGOS - Doctorado en Educación en Matemáticas en la Universidad Antonio Nariño
12. EDUARDO PLAZAS MOTTA - Doctorado en Educación Doctorado en Educación en la Universidad de DEUSTO DEUSTUKO UNIBERTSITATEA
FACULTAD DE INGENIERÍA:
1. GUIBER OLAYA MARIN - Doctorado en Ecosistemas Energéticos en la Universidad Nacional sede Medellín 
FACULTAD DE SALUD:
1. CLAUDIA ANDREA RAMIREZ PERDOMO - Doctorado en Enfermería en la Universidad de Antioquia
FACULTAD DE CIENCIAS SOCIALES Y HUMANAS:
1. MIRYAM CRISTINA FERNANDEZ CEDIEL - Doctorado en Psicología en VRIJE UNIVERSITEIT BRUSSEL (Universidad Libre de Bruselas, Bélgica)
2. JULIO ROBERTO JAIME SALAS - Doctorado en Ciencias Sociales Niñez y Juventud en la Universidad FUNDACIÓN CENTRO INTERNACIONAL DE EDUCACIÓN Y DESARROLLO HUMANO-CINDE
3. FABIO ALEXANDER SALAZAR PIÑEROS: Doctorado en Psicología en la Universidad Pontificia Católica de Argentina.
FACULTAD DE CIENCIAS EXACTAS Y NATURALES:
1. RUBEN DARÍO VALBUENA - Doctorado en Agroindustria y Desarrollo Agrícola Sostenible en la Universidad Surcolombiana
2. INETH MEDINA ARCE - Doctorado en Pensamiento Complejo en la Universidad MULTIVERSIDAD MUNDO REAL EDGAR MORIN
3. JASMIDT VERA CUENCA - Doctorado en Pensamiento Complejo en la Universidad MULTIVERSIDAD MUNDO REAL EDGAR MORIN
4. GERMÁN ESCOBAR FIESCO - Doctorado en Matemática Aplicada en la Universidad de Sao Paulo - Brasil</t>
  </si>
  <si>
    <t>Se apoyó al Fortalecimiento de las capacidades investigativas para la acreditación Institucional a través de la estructuración del plan de mejoramiento y la divulgación de la información sistematizada de productos resultado de investigación en los últimos 5 años: (Página WEB y (2) dos videos) 100%
- Elaboración de los avisos con los nombres de las siete (7) facultades de la Universidad Surcolombiana
- Elaboración de dos videos informe videos sobre los alcances de la Universidad Surcolombiana en las áreas de visibilidad nacional e internacional, investigación y creación artística y pertinencia e impacto social.</t>
  </si>
  <si>
    <t>Se apoyó al fortalecimiento de las capacidades investigativas de 24 grupos de investigación en modalidad de proyectos (28 proyectos):
1. AGROINDUSTRIA USCO - Desarrollo de un nuevo producto a base de filete de tilapia (Oreochromis sp.) mediante la aplicación de métodos de salado
2. ANDRÉS BELLO - El papel de la iglesia en los procesos de paz y reconciliación en américa latina – una mirada histórica
3. APRENAP - Efectos de dos métodos de retroalimentación correctiva en la escritura en inglés como lengua extranjera (ILE): El desarrollo de la precisión gramatical y lexical.
4. BIOESMATH - Análisis de estabilidad en el modelo para el VIH en el municipio de Neiva
5. CARLOS FINLAY - Calidad de vida y aspectos psicosociales en una muestra de pacientes diagnosticados con Síndrome de Fibromialgia en las ciudades de Neiva y Tunja.
6. COMUNICACIÓN, MEMORIA Y REGIÓN - Influencias en la producción de contenidos de las emisoras universitarias de interés público de la región Sur de Colombia (Cauca, Nariño, Caquetá y Huila), en el periodo 2011 – 2015
7. COMUNIQUÉMONOS - Análisis del proceso evaluativo del aprendizaje del inglés en un programa de licenciatura en lengua extranjera de una universidad pública en Colombia
8. CON-CIENCIA JURÍDICA - La conciliación procesal obligatoria como mecanismo de descongestión judicial en la jurisdicción contenciosa administrativa de Antioquia, bolívar, Cundinamarca y valle del cauca
9. CYNERGIA - La empresa en el posconflicto,  una mirada regional
10. DINUSCO - Los sistemas dinámicos del cambio climático y las afectaciones sobre los sistemas ecológicos locales
11. DNEUROPSY - Correlatos neurofisiológicos (electroencefalografía) del procesamiento emocional de los perfiles clínicos en niños
12. DNEUROSPY - Marcadores biológicos neurocognitivos de niños y niñas de 7 a 9 años víctimas de acoso escolar
13. ESINSUR - Análisis de la implementación del decreto 3022 de 2013 las pequeñas y medianas empresas “PYMES” del sector comercial registradas debidamente en la cámara de comercio en el municipio de Pitalito Huila en el año fiscal 2014
14. FÍSICA TEÓRICA - Estudio De La Fricción En Mecánica Cuántica
15. FÍSICA TEÓRICA - Estudio de la radiación electromagnética incidente sobre sistemas periódicos de geometrías planas y esféricas, con materiales de diferentes propiedades electromagnéticas
16. GESTIÓN Y COMPLEJIDAD ORGANIZACIONAL - Competencias gerenciales de los líderes organizacionales del sector productivo de las pasifloras en el Departamento del Huila
17. GINACUA - Identificación de especies icticas en el área de influencia de la hidroeléctrica del Quimbo
18. IGUAQUE - Estudio de caracterización de la población dedicada al servicio de transporte urbano en moto y formulación de políticas públicas alternativas para la ciudad de Neiva (H)
19. ILESEARCH - El trabajo colaborativo: una herramienta para la transformación de las prácticas pedagógicas
20. IN-SUR-GENTES - Reconfiguración del territorio. Discursos sobre Territorio, Democracia, Desarrollo y política en el departamento del Huila
21. NUEVAS VISIONES DEL DERECHO - Caracterización de las acciones constitucionales derivadas de la construcción de la hidroeléctrica “el quimbo”
22. PACA - Construcción de prácticas pedagógicas alternativas para la formación de maestros para la paz, la equidad y la reconciliación
23. PACA - La permanencia y el abandono estudiantiles: fisuras para la escuela de la paz, la equidad, la reconciliación y el ejercicio de los DDHH en el marco del posconflicto
24. PARASITOLOGÍA Y MEDICINA  TROPICAL - Niveles de Interferón gamma y citocinas pro-inflamatorias en lavado bronco-alveolar de pacientes adultos con sospecha de tuberculosis
25. PRACTICAS PEDAGOGICAS - Actitud, conocimiento y uso de las tecnologías de la información y la comunicación (tic) para la enseñanza de las ciencias naturales en las instituciones educativas públicas del municipio de Neiva. un estudio diagnóstico.
26. SALUD Y GRUPOS VULNERABLES - Conocimientos y prácticas que realizan los pacientes diabéticos para la prevención del pie diabético en la empresa social del estado (ese) Carmen Emilia Ospina
27. SALUD Y GRUPOS VULNERABLES - Reconstrucción de los Itinerarios terapéuticos de las mujeres con cáncer de mama para la reconstrucción de los senos en la ciudad de Neiva (Huila). 
28. TRATAMIENTO DE SEÑALES Y COMUNICACIONES - Diseño e implementación de sistema de guía inercial para el control de vuelo autónomo de un helicóptero aeromodelo</t>
  </si>
  <si>
    <t>Proyecto transversalidad de la investigacion de lo académico que fue aprobado por el COCEIN y el consejo académico buscar acta cocein y acta académico: 3 talleres, 1 cocein, 2 académico y 3 profesores: ACTA No. 7 COCEIN</t>
  </si>
  <si>
    <t>1 - SE REALIZÓ (1) UN TALLER CON EXPERTO EN GESTIÓN Y APROPIACIÓN SOCIAL DEL CONOCIMIENTO (Doctora en Ciencias Médicas ZORAIDA MARIA AMABLE AMBROS, identificado con Pasaporte No. I392547 de Nacionalidad Cubana)</t>
  </si>
  <si>
    <t>1 - Tema: Sistematización de la información: Diario de Campo y bitacora - LISIMACO VALLEJO CUELLAR
2 - Tema: Investigar una buena Onda, apoyo en la etapa de trayectoria de la indagación según metodología de la guía de investigación e innovación del Programa Ondas - AMANDA EDID BONILLA CALDERON
3 - Tema: Análisis de base de datos cualitativos y cuantitativos de información recolectada de los proyectos de los grupos de investigación Ondas - LISIMACO VALLEJO CUELLAR
4 - Tema:  Construcción y aplicación de instrumentos de recolección de datos e información en investigación - ANGELICA MARIA ESPAÑA MALDONADO</t>
  </si>
  <si>
    <t>Se apoyó al desarrollo de 39 proyectos formulados por los grupos con un avance del 100% cada uno en el 2017, en el marco del convenio ONDAS: PROPUESTAS DE INVESTIGACIÓN SELECCIÓNADAS QUE FUERON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Como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</si>
  <si>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 divulgación de los siguientes (7) eventos académicos, en donde se realizó al menos una (1) ponencia por evento:
1 - II CONGRESO IBEROAMERICANO DE INVESTIGACIÓN SOBRE LA MIPYME Que se llevará a cabo en San José- Costa Rica
2 - PRIMER SEMINARIO DEL POSDOCTORADO EN CIENCIAS SOCIALES, NIÑEZ Y JUVENTUD que se llevará a cabo en SAO PABLO -BRASIL
3 - IV CONGRESO INTERNACIONAL IBEROAMERICANO DE ENFERMERIA 2017 A REALIZARSE EN LA CIUDAD DE CANCUN (MEXICO)
4 - Primer encuentro nacional de la red de lenguaje y pedagogía "INTERCHANGING VIEWS ON BILINGUAL EDUCATION"
5 - V Congreso Internacional de la Asociación para la Formación, Investigación y Desarrollo del Emprendimiento AFIDE 2017, SE LLEVARA A CABO EN LA CIUDAD DE PANAMA, EN LA UNIVERSIDAD CATOLICA SANTA MARIA LA ANTIGUA.
6 - Congreso del Consejo Internacional de Enfermeras (CIE): "Las enfermeras a la vanguardia, mejorando los cuidados",  EN BARCELONA ESPAÑA
7 - DESARROLLO DEL CURSO DE DERECHOS FUNDAMENTALES Y GLOBALIZACIÓN EN LA ESCUELA COMPLUTENSE DE VERANO DE LA UNIVERSIDAD COMPLUTENSE DE MADRID-ESPAÑA</t>
  </si>
  <si>
    <t xml:space="preserve">Se apoyó a 28 docentes para realizar ponencias en eventos nacionales e internacionales:
1. JOSÉ JARDANI GIRALDO - ponencia titulada “medición del impacto del tratado de libre comercio con estados unidos: el caso del departamento del Huila 2009-2015”, en la conferencia  de la asociación colombiana de facultades de administración (ASCOLFA
2. HÉCTOR HUGO RUÍZ - ponencia titulada “medición del impacto del tratado de libre comercio con estados unidos: el caso del departamento del Huila 2009-2015”, en la conferencia  de la asociación colombiana de facultades de administración (ASCOLFA)
3. FRANCISCO JOSÉ MUÑOZ  - “alternativas que ayuden a sustituir el uso de empaques no biodegradables durante las labores de trasplante del café en el municipio de rivera”, en la conferencia  de la asociación colombiana de facultades de administración (ASCOLFA), 
4. GERMAN DARÍO HEMBUZ FALLA - ponencia titulada “política pública de competitividad en el departamento del Huila”, en la conferencia  de la asociación colombiana de facultades de administración (ASCOLFA
5. HERNANDO GIL TOVAR - ponencia titulada “habilidades gerenciales aplicadas en los establecimientos de producción y/o venta de comidas rápidas en el municipio de Neiva”, en la conferencia  de la asociación colombiana de facultades de administración (ASCOLFA
6. ALFONSO MANRRIQUE MEDINA - ponencia titulada “petróleo: pobreza o riqueza en el departamento del Huila (1990-2010)”, en la conferencia  de la asociación colombiana de facultades de administración (ASCOLFA)
7. HERNANDO GIL TOVAR - ponencia con el proyecto de investigación "emprendimientos culturales en Colombia-caso departamento del Huila", el congreso v congreso internacional de la asociación para la formación, investigación y desarrollo del emprendimiento AFIDE 2017 en la ciudad de Panamá, en la Universidad Católica Santa María la Antigua.
8. PATRICIA CARRERA BERNAL - ponencia "política internacional de gobierno abierto, desarrollo y su avance en gobiernos locales del departamento del Huila-Colombia" en el XIV foro internacional sobre evaluación de la calidad de la investigación y de la educación superior (facies) 2017 en granada España, 
9. HUMBERTO RUEDA RAMÍREZ - ponencia "prospectiva de las relaciones de la universidad surcolombiana con el Asia pacifico" y "aproximación académica y valorativa a la historia ambiental de Neiva" en el XIV foro internacional sobre evaluación de la calidad de la investigación y de la educación superior (facies) 2017 en granada España
10. ROBERTO VARGAS CUERVO - ponencia en la modalidad de poster en el marco del XVI congreso colombiano de geología a realizarse en la ciudad de Santa Marta con el trabajo aprobado "caracterización geológica y de fluidos de los indicios superficiales de hidrocarburos en el departamento del Huila"
11. LEIDY CAROLINA CUERVO - ponencia "caracterización del modelo educativo de preescolar y básica primaria rural del municipio de Neiva" el cual se presentara en el marco del III simposio internacional educación RIDECTEI, educación, ciencia, tecnología e innovación, el cual se realizara en la universidad de Guadalajara
12. EDUARDO PLAZAS MOTTA - ponencia "caracterización del modelo educativo de preescolar y básica primaria rural del municipio de Neiva" el cual se presentara en el marco del III simposio internacional educación RIDECTEI, educación, ciencia, tecnología e innovación, el cual se realizara en la universidad de Guadalajara
13. ALBEIRO CORTES CABEZAS - ponencia del workshop de apertura del proyecto improving rural livelihoods through promoting high-quality coffee and coffee cherry products in the origin countries Colombia and Bolivia, CESURCAFE
14. NELSON GUTIERREZ GUZMAN - ponencia del workshop de apertura del proyecto improving rural livelihoods through promoting high-quality coffee and coffee cherry products in the origin countries Colombia and Bolivia, CESURCAFE
15. ALFREDIS GONZÁLEZ HERNÁNDEZ  - ponencia en el XV congreso de la sociedad latinoamericana de neuropsicología en Natal – Brasil con la ponencia "evaluación e intervención neurocognitiva en niños con dificultades comportamentales" 
16. ÁNGELA MAGNOLIA RÍOS GALLARDO  - ponencia internacional en el XV congreso latinoamericano de neuropsicología organizado por la sociedad latinoamericana de neuropsicología (SLAN) en representación de la universidad surcolombiana en natal - Brasil.
17. HILDA DEL CARMEN DUEÑAS GÓMEZ  - ponencia oral dentro del simposio denominado "etnobotánica, mas allá de las plantas" con los resultados preliminares del proyecto de proyección social "usos, manejo, comercialización y análisis bromatológico proximal del agraz (vitis tilifolia humb. &amp; bonpl. ex schult.) en la comunidad que habla la zona de reserva del rio las ceibas (Neiva-Huila-Colombia)" en el V congreso latinoamericano de etnobiología y II congreso ecuatoriano de etnobiología a celebrarse en la ciudad de quito ecuador
18. ÁNGELA MAGNOLIA RÍOS GALLARDO  - universidad del Cauca - Popayán a participar en el "VI encuentro de gestión universitaria SUE, quien participara como ponente
19. ÁNGELA MAGNOLIA RÍOS GALLARDO  - ponente a "novena conferencia y del caribe para la internacionalización de la educación superior (LACHEC) a realizarse en el gran salón de plaza mayor, Medellín convenciones y exposiciones, con la temática internacionalización como potenciador de la investigación, la innovación y la interculturalidad, para el desarrollo: D=(I+I+I)I en Medellín
20. MANUEL GARCÍA FLORES - la afiliación institucional a ABEC, para presentar el trabajo titulado portal institucional de revistas Surcolombianas cambio de revistas impresas a digitales, durante el encuentro de la asociación brasilera de editores científicos ABEC a realizarse en la ciudad de Curitiba estado de Paraná en Brasil
21. ÁNGELA MAGNOLIA RÍOS GALLARDO  - ponente con la temática internacionalización como potenciador de la investigación, la innovación y la interculturalidad, para el desarrollo: D=(I+I+I)I en Medellín en la conferencia latinoamericana y del caribe para la internacionalización de la educación superior – LANCHEC 2017, que se llevara a cabo en la ciudad de Medellín 
22. PATRICIA GUTIÉRREZ PRADA – ponencia en conferencia ASCOLFA 2017 denominada "innovación y transformación….
23. HUMBERTO RUEDA RAMÍREZ - ponencia "prospectivas…
24. PATRICIA CARRERA BERNAL - ponencias "política int….
25. CARLOS HARVEY SALAMANCA FALLA - ponencia  "conocimiento, actitudes y prác….
26. CARLOS HARVEY SALAMANCA FALLA  - dos ponencias conjuntamente con estudiantes adscritos al grupo...
27. GERMAN DARÍO HEMUZ FALLA  - ponencia en foro de las ciencias sociales en Colombia y América Latina
28. JOSÉ JARDANI GIRALDO URIBE  - ponencia "turismo sostenible y resid...
</t>
  </si>
  <si>
    <t>Se consolidaron 35 grupos de investigación:
1. Acción Motriz
2. Agroindustria USCO  
3. Aprenap
4. Biología de la Reproducción
5. Carlos Finlay
6. Comunicación, Memoria y Región
7. Comuniquémonos
8. Con-ciencia Jurídica
9. Conocimiento Profesional del Profesor de Ciencias Universidad Pedagógica Nacional y Universidad Surcolombiana
10. Cre@
11. Crecer
12. Culturas, Conflictos y Subjetividades
13. Cynergia
14. Desarrollo de Neurociencias en Psicología - DNEUROPSY
15. Desarrollo Social, Salud Pública y Derechos Humanos
16. Dinusco
17. Ecosistemas Surcolombianos  
18. Física Teórica
19. Grupo de Investigacion de Robotica , control y procesamiento de señales  ROBOCOPS
20. Grupo de Investigación en Pruebas de Pozos
21. Grupo de Investigación en Psicología Positiva
22. Grupo Medico Quirurgico Surcolombiano
23. Iguaque
24. Laboratorio de Medicina Genómica
25. Molúfode
26. Neurored
27. Nuevas Tecnologías
28. Nuevas Visiones del Derecho
29. Parasitología y Medicina Tropical
30. Pensamiento, Práctica y Teoría Política
31. Programa de Acción Curricular Alternativo – PACA
32. Pymes
33. Salud y Grupos Vulnerables
34. Simbiosis, Hombre y Naturaleza
35. Unificación de los Sistemas de Comunicaciones “UNITCOM”</t>
  </si>
  <si>
    <t>CAPACITACIÓN/EVENTOS</t>
  </si>
  <si>
    <t xml:space="preserve">1. Docente y 2 estudiantes pertenecientes al semillero  FACTA NON VERBA VII, para participar como ponentes en el XVII Encuentro Nacional de la Red de Grupos de Investigación Jurídica y Sociojurídica en Cúcuta 
2. Inscripción de 15 docentes adscritos a FCJP para participar en el Diplomado en formación de conciliadores en derecho 
3. Inscripción del equipo en Pitalito al IV Concurso Internacional de Derechos Humanos Organizado por el Instituto Colombiano de Derechos Humanos en Santa Martha
4. Ponencia Grupo de Investigación Conciencia Jurídica en el Congreso Internacional sobres Sistemas Penitenciarios y Carcelarios y VI Intercambio de Semilleros de Sistema Penal y Penitenciario a desarrollarse en la Universidad Autónoma de Occidente en la ciudad de Cali
5. Reunión en el Ministerio de Justicia y del Derecho en la ciudad de Bogotá 
6. VII Encuentro Nacional de Clínicas Jurídicas de Interés Público en la Universidad de Ibagué </t>
  </si>
  <si>
    <t>Ya se cumplió la meta y se continúa apoyando al desarrollo de los 3 Doctorados: 
1 - Agroindustria y Desarrollo Agricola Sostenible, 
2 - Educación y Cultura Ambiental
3 - Ciencias de la Salud</t>
  </si>
  <si>
    <t>Financiación de 21 proyectos de investigación en modalidad trabajos de grado.
1. Cálculo de la reactividad determinística en reactores nucleares
2. Estudio de propiedades electrónicas de la calcopirita cu?in?_(1-x) ?al?_x ?te?_2
3. Imaginarios sobre los acuerdo de paz de víctimas del conflicto armado en zonas rurales y urbanas de Neiva 2016.
4. Influencia de los medios masivos de información en la configuración de imaginarios de paz en la región surcolombiana
5. Geopolítica de las emociones en tramas narrativas de paz de maestr@s de la institución educativa salen en Isnos Huila 
6. “geopolítica de las emociones en tramas narrativas de paz de maestr@s de la institución  educativa en Bruselas Huila
7. Relación entre acoso escolar y el desarrollo de funciones ejecutivas en niños de básica primaria sedes de la institución
8. Capacidad de autocuidado de las personas con insuficiencia renal crónica en terapia de remplazo renal, Florencia 2017
9. Factores que afectan la adherencia a la rehabilitación cardiopulmonar de los pacientes atendidos en la unidad cardiovascular del HUHMP durante en el segundo semestre del año 2016.
10. Conocimientos y atención que tiene el personal de salud con los niños y niñas que consultan por violencia en el servicio
11. Prevalencia de Chagas congénito. Neiva, julio a diciembre de 2015
12. Calidad de vida en el trabajo en docentes de la universidad surcolombiana sede Neiva – Huila
13. Procesos de inclusión de una mujer y un hombre mestizos en la comunidad indígena Inga y Kamenisa ubicados en el Valle de Sibundoy
14. Riesgo de trastornos de la conducta alimentaria (RTCA) relacionado con la imagen corporal en estudiantes de pregrado mayores de 18 años de la universidad surcolombiana de Neiva en el segundo periodo del año 2016
15. Caracterización de violencia hacia las mujeres en la relación de pareja en los municipios de Algeciras y la plata
16. Diseño e implementación de un sistema de control de nivel y flujo en tanques acoplados usando control multivariable  por métodos clásicos.
17. Estudio de viabilidad de apertura del programa de matemática aplicada de la universidad surcolombiana en la sede Pitalito
18. Niveles de il-17 en lavado bronco alveolar de pacientes con sintomatología pulmonar crónica y su asociación con
19. Interleuquina (il)-6: utilidad en la aproximación diagnostica de sepsis neonatal
20. Valor diagnóstico del eje st2-il-33 localmente secretados en pacientes con patologías pulmonares no alérgicas.
21. Tiempo libre: una fuente de vida en la educación</t>
  </si>
  <si>
    <t>Financiación de 42 proyectos ejecutados por semilleros de investigación.
1. Preselección de mercados internacionales para los cafés especiales del departamento del Huila 2016
2. Determinantes que hacen que las ciudades de Colombia presente medio, bajo y muy bajo índice de calidad ambiental urbana
3. Relación entre el conflicto armado y la producción agraria: caso departamento del Huila
4. Marketing relacional en las panaderías estrato 2 y 3 de la ciudad de Neiva.
5. Caracterización de los procesos comunicativos que han implementado las organizaciones más representativas de Pitalito, ante la llegada de organizaciones nacionales e internacionales desde 1996 hasta el 2016
6. Análisis de la ley 1788 de 2016 en Neiva
7. Factores que influyen en la hospitalización y en la adherencia al tratamiento farmacológico y no farmacológico en los pacientes con hipertensión y diabetes mellitus.
8. Contrato de aparcería como una alternativa para el sector agrícola en Colombia del posconflicto
9. Insolvencia  de persona natural no comerciante 
10. La sostenibilidad fiscal en el posconflicto en Colombia 
11. Niños, niñas y adolescentes en el postconflicto, un estudio desde el derecho comparado.
12. Aprendiendo a estudiar las clases en el club de apoyo matemático del Huila Camath
13. Tareas matemáticas para el desarrollo de competencias matemáticas en estudiantes de educación básica secundaria y media
14. Factores determinantes del fracaso empresarial de las microempresas del municipio de Pitalito
15. Practicas gerenciales en el proceso de vinculación del personal en el sector hotelero del municipio de Pitalito
16. Calculo de la reactividad usando la ley de Boole en reactores nucleares
17. Calculo de la función de Green para sistemas disipaditos mecánicos y electromagnéticos
18. Habilidades gerenciales aplicadas en los establecimientos de producción y/o venta de comidas rápidas en el municipio de Neiva 
19. Caracterización citogenética de saccodon dariensis de la parte alta del rio magdalena
20. El servicio financiero solidario necesidades de fortalecimiento
21. El cooperativismo, el microcrédito y el postconflicto, alternativas del futuro
22. Viabilidad social financiera y de calidad para la creación de un banco de semen y embriones enfocado a los pequeños y medianos ganaderos de la región surcolombiana
23. Actualización de los currículos de los programas de contaduría pública ofertados en Neiva frente a la enseñanza de lo internacional y la globalización contable
24. Conocimientos financieros básicos de estudiantes de los grados terceros a quinto de primaria. (Estudio de caso instituciones educativas el paraíso Algeciras y claretiano Gustavo torres parra, año 2016).
25. Dinámicas territoriales que han influido en la conformación del asentamiento Álvaro Uribe Vélez en la ciudad de Neiva entre 2002 y 2016.
26. Factores que determinan la rentabilidad del café en una finca no certificada de la vereda barzalosa y una finca certificada de la vereda regueros del municipio de Pitalito Huila.
27. Sistematización campaña "para la guerra nada, para la paz todo"
28. Caracterización de los discursos de paz de 2010 al 2016
29. La interpretación judicial de las altas cortes en Colombia (2010-2016)
30. La garantía judicial de los derechos y libertades fundamentales en américa latina: análisis de las experiencias en Colombia, ecuador, Perú y Bolivia
31. Desarrollo del concepto de familia en Colombia y sus implicaciones jurídicas, a través de la  jurisprudencia de la corte constitucional, la corte suprema de justicia y el consejo de estado desde 1991
32. Establecimiento de los factores que inciden en la competitividad del cultivo de café en las fincas de la vereda alto oriente del municipio de Tello – Huila.
33. Influencia de la publicidad en el consumo de bebidas gaseosas de la marca Coca-Cola en los estudiantes de la facultad de economía y administración de la universidad surcolombiana.
34. Conectividad con la naturaleza y conductas de consumo sostenible en una muestra de estudiantes de educación media de la ciudad de Neiva: un estudio comparativo
35. Concepción de sujeto que subyace a las prácticas pedagógicas de inclusión en la institución educativa ceinar sede renaciendo de la ciudad de Neiva
36. Perspectivas de construcción de paz en el asentamiento peñón redondo- Neiva 2016
37. Asentamientos informales y derecho a la ciudad. El caso del asentamiento brisas del venado de la ciudad de Neiva.
38. Opiniones de los estudiantes de enfermería sobre la sentencia c-355 de 2006
39. Condiciones y perspectivas comunitarias frente a la seguridad alimentaria y nutricional del resguardo indígena Tama – Páez la Gabriela. 2017.
40. Consolidación del estado del arte de la contabilidad ambiental 
41. Una mirada a los conceptos de tiempo libre, ocio y recreación de los estudiantes, docentes y administrativos de la facultad
42. Análisis del registro en el diario del Huila del acuerdo de paz alcanzado entre el gobierno y las FARC</t>
  </si>
  <si>
    <t>Se apoyó con la Financiación la vinculación de 14 jóvenes investigadores:
1 - CRISTIAN  FABIAN VILLANUEVA
2- MARIA ALEJANDRA BERMEO LOSADA
3 - LEIDY MARCELA CASTAÑO BAQUERO
4 - LUISA FERNANDA MUÑOZ
5 - DIANA MARCELA CELIS
6 - ERIKA TATIANA CORTES MACIAS
7 - MAYRA PATRICIA RODRÍGUEZ ESPINOSA
8 - KARLA ALEXANDRA LOSADA BENAVIDES
9 - JONATHAN ANDRÉS MOSQUERA
10 - KAREN LORENA REYES VÉLEZ
11 - ANGIELA CRISTINA ROMERO VARÓN
12 - JUANITA PAOLA GUTIÉRREZ CUENCA
13 - JUAN ESTEBAN LOZANO PLAZAS
14 - MARIA ANGELICA SEGURA DURAN</t>
  </si>
  <si>
    <t>Se apoyó a la capacitación y desarrollo de 11 talleres para la formulación de la investigación:
1. Taller: La Carpintería de la Escritura para la Investigación Nivel I (GRUPO 1)
2. Taller: La Carpintería de la Escritura para la Investigación Nivel II (GRUPO 1)
3. Taller básico de ortografía para la enseñanza (GRUPO 1)
4. Taller: La Carpintería de la Escritura para la Investigación Nivel I (GRUPO 2)
5. Taller: La Carpintería de la Escritura para la Investigación Nivel II (GRUPO 2)
6. Taller: La Carpintería de la Escritura para la Investigación Nivel III
7. Taller básico de ortografía para la enseñanza (GRUPO 2)
8. Taller permanente: búsqueda de la literatura científica y manejo de gestores bibliográficos 
9. Taller: Formulación de Proyectos bajo la Metodología de Marco Lógico para diligenciar proyectos en -MGA
10. Taller internacional sobre investigación en sistemas de salud
11. Taller en Gestión en Apropiación Social del Conocimiento</t>
  </si>
  <si>
    <t>Se apoyó a la consolidación de 35 grupos de investigación:
1. Acción Motriz
2. Agroindustria USCO  
3. Aprenap
4. Biología de la Reproducción
5. Carlos Finlay
6. Comunicación, Memoria y Región
7. Comuniquémonos
8. Con-ciencia Jurídica
9. Conocimiento Profesional del Profesor de Ciencias Universidad Pedagógica Nacional y Universidad Surcolombiana
10. Cre@
11. Crecer
12. Culturas, Conflictos y Subjetividades
13. Cynergia
14. Desarrollo de Neurociencias en Psicología - DNEUROPSY
15. Desarrollo Social, Salud Pública y Derechos Humanos
16. Dinusco
17. Ecosistemas Surcolombianos  
18. Física Teórica
19. Grupo de Investigacion de Robotica , control y procesamiento de señales  ROBOCOPS
20. Grupo de Investigación en Pruebas de Pozos
21. Grupo de Investigación en Psicología Positiva
22. Grupo Medico Quirurgico Surcolombiano
23. Iguaque
24. Laboratorio de Medicina Genómica
25. Molúfode
26. Neurored
27. Nuevas Tecnologías
28. Nuevas Visiones del Derecho
29. Parasitología y Medicina Tropical
30. Pensamiento, Práctica y Teoría Política
31. Programa de Acción Curricular Alternativo – PACA
32. Pymes
33. Salud y Grupos Vulnerables
34. Simbiosis, Hombre y Naturaleza
35. Unificación de los Sistemas de Comunicaciones “UNITCOM”</t>
  </si>
  <si>
    <t>Se apoyó con la ejecución de 17 Convenios Cofinanciados:
1. Convenio entre Universidad RHODE ISLAND y la USCO
2. Convenio de Cooperación de Ciencia y Tecnología 707 EMGESA y la Universidad Surcolombiana
3. Convenio Especial de Cooperación 571 entre la Fiduciaria La Previsora S.A. (Colciencias) -USCO
4. Convenio Especial de Cooperación INFIHUILA – UNIVERSIDAD SURCOLOMBIANA, ONDAS No. 245-2014 entre el Departamento del Huila y la USCO
5. Convenio internacional 1 entre la Universidad de Manchester - Universidad de los Andes y Universidad Surcolombiana
6. Convenio especial de cooperación para el desarrollo de actividades de ciencia, tecnología e innovación Surcolombiana 085-2015 entre el Departamento del Huila y la Universidad Surcolombiana
7. Convenio Especial de Cooperación No. FP44842-164-2017 entre la Fiduciaria la Previsora S.A. (Colciencias) y la Usco
8. Convenio Especial de Cooperación No. FP44842-401-2017 entre la Fiduciaria la Previsora S.A. (Colciencias) y la Usco
9. Convenio Interadministrativo 771 entre el Municipio de Neiva y la Universidad Surcolombiana
10. Convenio Interadministrativo 1030 entre el Municipio de Neiva y la Universidad Surcolombiana
11. Acuerdo 1 entre Suiza y la Universidad Surcolombiana
12. Convenio de cooperación 004 de 2017 entre la Cámara de Comercio de Neiva y la Universidad Surcolombiana
13. Convenio especial de cooperación para el desarrollo de actividades de ciencia, tecnología e innovación 001 de 2017 entre la Uniminuto y la Universidad Surcolombiana 
14. Contrato Interadministrativo 1229 de 2017 entre el Municipio de Neiva y la Universidad Surcolombiana
15. Convenio Interadministrativo 132 de 2017 entre Departamento del Huila (secretaria de gobierno) y la Universidad Surcolombiana
16. Contrato de Financiamiento 749 de 2017 entre Colciencias y la Universidad Surcolombiana
17. Convenio Interadministrativo entre Municipio de Tello y la Universidad Surcolombiana</t>
  </si>
  <si>
    <t>Se llegó conformó en un 100% 3 Bancos de proyectos:
1. Banco de Proyectos GPE 
2. Banco de Proyectos Investigación
3. Banco de Proyectos Proyección Social
- Fortalecimiento del sector turismo arqueológico mediante el desarrollo de nuevas escavaciones en los municipio de salado balnco, san agustín, isnos y pitalito
- Investicagión de productos agrobiológicos para desarrollar suelos sanos, disminución del impacto de plagas y enfermedades en los cultivos de cholupa, mora, aguacate y cacao para el incremento de la productividad y competitividad del sector agrícola en el departamento del Huila
- Caracterización genética de los planteles reproductores de tilapia roja de 6 granjas alevineras del departamento del Huila</t>
  </si>
  <si>
    <t>SISTEMA INTEGRADO DE INFORMACION</t>
  </si>
  <si>
    <t>Se actualizaron sistemas de información y desarrollaron 3 aplicativos:
1. SIVIPS
2. CAP
3. Repositorio de producción intelectual</t>
  </si>
  <si>
    <t>ACTUALIZACIÓN DEL SISTEMA KOHA EN BIBLIOTECA USCO</t>
  </si>
  <si>
    <t>Se actualizó el Sistema KOHA en la Biblioteca de la Universidad Surcolombiana</t>
  </si>
  <si>
    <t>Se apoyo a la creación y fortalecimiento de 6 centros de investigación, vigilancia tecnológica e innovación:
1. Facultad Economía y Admón. (CESPOSUR)
2. Facultad Ingeniería (CESURCAFE)
3. Facultad Educación (CIECE)
4. Facultad de Ciencias Sociales (CIS)
5. Facultad de salud (CENISALUD)
6. Facultad de Ciencias (CIFACIEN)</t>
  </si>
  <si>
    <t>PROYECTOS BANCO DE PROYECTOS</t>
  </si>
  <si>
    <t>En total hay 243 Proyectos de los 3 diferentes bancos de proyectos: 
1. Banco de Proyectos GPE: 17 proyectos (100%)
2. Banco de Proyectos investigación: 165 proyectos, se están ejecutando 88. (100%)
3. Banco de Proyectos proyección social: 61 proyectos, se están ejecutando 44. (100%)</t>
  </si>
  <si>
    <t>REVISTAS INSTITUCIONALES</t>
  </si>
  <si>
    <t>Se apoyó con la envaluación de artículos, corrección de estilo, diseño, diagramación, impresión y publicación de las siguientes nueve (9) revistas institucionales que se encuentran en la página  https://www.journalusco.edu.co:
1 - Crecer Empresarial, Journal of Management and Development.
2 - RFS
3 - Entornos
4 - Ingeniería y Región
5 - Paideia Surcolombiana
6 - Revista Jurídica Piélagus
7 - Revista Proyección Social
8 - Revista Estudios Psicosociales Latinoamericanos
9 - Erasmus Semilleros de Investigación</t>
  </si>
  <si>
    <t>Se apoyó a la capacitación y desarrollo de 9 talleres para la formulación de la investigación:
1 - Taller: La Carpintería de la Escritura para la Investigación Nivel I (GRUPO 1)
2 - Taller: La Carpintería de la Escritura para la Investigación Nivel II (GRUPO 1)
3 - Taller básico de ortografía para la enseñanza (GRUPO 1)
4 - Taller: La Carpintería de la Escritura para la Investigación Nivel I (GRUPO 2)
5 - Taller: La Carpintería de la Escritura para la Investigación Nivel II (GRUPO 2)
6 - Taller: La Carpintería de la Escritura para la Investigación Nivel III
7 - Taller básico de ortografía para la enseñanza (GRUPO 2)
8 - Taller permanente: búsqueda de la literatura científica y manejo de gestores bibliográficos 
9 - Taller: Formulación de Proyectos bajo la Metodología de Marco Lógico para diligenciar proyectos en -MGA
10. Taller internacional sobre investigación en sistemas de salud
11. Taller en Gestión en Apropiación Social del Conocimiento
12 - Encuentro de la asociación brasilera de editores científicos ABEC a realizarse en la ciudad de Curitiba estado de Paraná en Brasil</t>
  </si>
  <si>
    <t>LIBROS</t>
  </si>
  <si>
    <t>Se realizó entre evaluación, corrección de estilo, diagramación y publicación a 36 libros en las diferentes modalidades:
1. Evaluar, Diseñar, diagramar e imprimir Libro de Investigación: “Propuesta para la mejora de las facilidades de producción de un campo petrolero”.
2. Evaluar, Diseñar, diagramar e imprimir Libro de Investigación: “Impacto del cambio climático sobre el hábitat de la achira en Colombia para el año 2020”
3. Corrección de estilo de los libros: el paisaje urbano de Neiva entre la modernidad y la modernización (1930-1950)
4. Corrección de estilo de los libros: Voces de un pasado vivo: memorias de los procesos comunitarios del barrio la libertad de Neiva entre 1960-1984. 
5. Diseñar, diagramar e imprimir los libros producidos por la Editorial Universidad Surcolombiana. Nombre del libro: Buenas prácticas en la producción primaria de alimentos de origen animal. Texto Didáctico. 
6. Diseñar, diagramar e imprimir los libros producidos por la Editorial Universidad Surcolombiana: Nombre del libro: Estudio de los microorganismos desde las prácticas de laboratorio. Texto Didáctico. 
7. Diseñar, diagramar e imprimir los libros producidos por la Editorial Universidad Surcolombiana. Nombre del libro: Tejiendo memorias en familia. Memoria familiar en la experiencia del desplazamiento por causa del conflicto político colombiano. Investigación.
8. Pares Evaluadores para que evalúen la productividad académica presentada: Evaluación Libro de Investigación • “Manual de Prácticas de Laboratorio de Microbiología”."
9. Evaluar, Diseñar, diagramar e imprimir Libro de Investigación: Evaluación Libro de Investigación: • “El Arte de Escribir”."
10. Pares Evaluadores para que evalúen la productividad académica presentada: Evaluación Libro de Investigación: • “Reflexiones sobre la Teoría y la Historia del concepto de Ciudadanía”"
11. Pares Evaluadores realizaran la evaluación de la productividad académica presentada: Evaluación Libro de Investigación: • “La Cour Constitutionnelle Colombienne: Un Nouveau Legislatur”.
12. Pares Evaluadores realizaran la evaluación de la productividad académica: Evaluación Libro de Investigación: • “Introducción a las series” y “Fundamentos de Geometría”."
13. Evaluación, Diseño, diagramación e impresión: Evaluación Libro de Investigación: • “Un libro que habla de libros. Valor de la teoría en la investigación literaria”.
14. Pares Evaluadores realizaran la evaluación de la productividad académica presentada: Evaluación Libro de Investigación: • “Memorias de un barrio en resistencia. Voces recobradas del barrio La Libertad de Neiva, entre 1960 y 1984”."
15. Diseño, diagramación e impresión de los libros producidos por la Editorial Universidad Surcolombiana con base en la Convocatoria para publicación de libros 2016-2017.: 3. Nombre del libro: Experiencias e innovaciones en la enseñanza de la biología y la formación docente. Cuadernos del presente
16. Diseño, diagramación e impresión de los libros producidos por la Editorial Universidad Surcolombiana con base en la Convocatoria para publicación de libros 2016-2017.: 4. Nombre del libro: Memorias de un barrio en resistencia. Historia urbana 
17. Diseño, diagramación e impresión de los libros producidos por la Editorial Universidad Surcolombiana con base en la Convocatoria para publicación de libros 2016-2017.: 5. Nombre del libro: El quehacer de los maestros en el Huila. Investigación."
18. Pares Evaluadores realizaran la evaluación de la productividad académica presentada: Evaluación Proyecto de Investigación: • “Desarrollo de un nuevo producto a base de filete de tilapia (Oreochromis sp.) Mediante la aplicación de métodos de salado”."
19. Pares Evaluadores realizaran la evaluación de la productividad académica presentada: Evaluación Proyecto de Investigación: • “Practicas pedagógicas que promueven o vulneran los DDHH en la clase de educación física”."
20. Pares Evaluadores realizaran la evaluación de la productividad académica presentada: Evaluación Proyecto de Investigación (1): • “El derecho a la alimentación escolar en las instituciones educativas públicas del Huila. Implementación de la ley 1335”
21. Pares Evaluadores realizaran la evaluación de la productividad académica presentada: Evaluación Proyecto de Investigación (2): • “El derecho a la alimentación escolar en las instituciones educativas públicas del Huila. Implementación de la ley 1335”
22. Pares Evaluadores realizaran la evaluación de la productividad académica presentada: Evaluación Proyecto de Investigación: • “La permanencia y el abandono estudiantil: fisuras para la escuela de la paz, la equidad, la reconciliación y el ejercicio de los DDHH en el marco del postconflicto”
23. Pares Evaluadores realizaran la evaluación de la productividad académica presentada: Evaluación Proyecto de Investigación: • “Niveles de interferón gamma citosinas pro-inflamatorias en lavado bronco-alveolar de pacientes adultos con sospecha de tuberculosis”
24. Pares Evaluadores realizaran la evaluación de la productividad académica presentada: Evaluación Proyecto de Investigación: • “Correlatos neurofisiológicos (electroencefalografía) de los procesos clínicos en los niños”
25. Pares Evaluadores realizaran la evaluación de la productividad académica presentada: Evaluación Proyecto de Investigación: • “Perspectivas indígenas frente a la soberanía alimentaria de las comunidades Nasa, Misak y Yanakona. Huila, 2017”
26. Pares Evaluadores realizaran la evaluación de la productividad académica presentada: Evaluación Proyecto de Investigación: • “Calidad de vida y aspectos psicosociales en una muestra de pacientes diagnosticados con síndrome de Fibromialgia en las ciudades de Neiva y Tunja”
27. Pares Evaluadores realizaran la evaluación de la productividad académica presentada: Evaluación Proyecto de Investigación: • “Estudio de la fricción en mecánica cuántica”
28. Pares Evaluadores realizaran la evaluación de la productividad académica presentada: Evaluación Proyecto de Investigación: • “Evaluación del impacto de la aplicación de un programa de intervención Neurocognitivo sobre el componente de la teoría de la mente en niños escolares con diagnóstico de trastorno de conducta”
29. Pares Evaluadores realizaran la evaluación de la productividad académica presentada: Evaluación Proyecto de Investigación: • “Reconstrucción de los itinerarios terapéuticos de las mujeres con cáncer de mama para la reconstrucción de los senos en la ciudad de Neiva”
30. Realizar la evaluación de la productividad académica presentada: Evaluación libro de investigación: - Empoderamiento del proceso de enseñanza - aprendizaje del Inglés y uso de las TIC
31. Prestar servicios Profesionales para realizar la corrección de estilo de los libros: Experiencia e innovación en la enseñanza de la biología y la formación docente. Tejido puentes entre Colombia y España. 
32. Pares Evaluadores realizaran la evaluación de la productividad académica presentada: Evaluación Libro de Investigación: • “Estado de cosas inconstitucional en la política pública penitenciaria de Colombia”.
33. Evaluación, Diseño, diagramación e impresión. Libro de Investigación: • “Plantas útiles de una zona cafetera en Acevedo, Huila”.
34. Pares Evaluadores realizaran la evaluación de la productividad académica presentada: Evaluación Libro de Investigación: • “Espacio público e informalidad en el microcentro de Neiva”.
35. Pares Evaluadores realizaran la evaluación de la productividad académica presentada: Evaluación Libro de Investigación: • “Introducción a las series y Fundamentos de geometría euclidiana”.
36. Pares Evaluadores realizaran la evaluación de la productividad académica presentada: Evaluación Libro de Investigación: • “Determinantes del rendimiento académico en regiones desarrolladas y en desarrollo de Colombia”.</t>
  </si>
  <si>
    <t>Se apoyó con la gestión para la indexación de las siguientes nueve (9) revistas institucionales que se encuentran en la página  https://www.journalusco.edu.co:
1 - Crecer Empresarial, Journal of Management and Development.
2 - RFS
3 - Entornos
4 - Ingeniería y Región
5 - Paideia Surcolombiana
6 - Revista Jurídica Piélagus
7 - Revista Proyección Social
8 - Revista Estudios Psicosociales Latinoamericanos
9 - Erasmus Semilleros de Investigación</t>
  </si>
  <si>
    <t>Se apoyó a la consolidación de la editorial surcolombiana y las siguientes nueve (9) revistas institucionales que se encuentran en la página  https://www.journalusco.edu.co:
1 - Crecer Empresarial, Journal of Management and Development.
2 - RFS
3 - Entornos
4 - Ingeniería y Región
5 - Paideia Surcolombiana
6 - Revista Jurídica Piélagus
7 - Revista Proyección Social
8 - Revista Estudios Psicosociales Latinoamericanos
9 - Erasmus Semilleros de Investigación</t>
  </si>
  <si>
    <t xml:space="preserve"> - Un aspecto importante es que la revista jurídica Piélagus quedó semestralizado
 - Se está haciendo un proceso de evaluación para la edición de julio - diciembre 2017
 - Se está trabajando fuertemente para entrar con la indexación en las base de datos internacionales: Redalyc y SciELO, para obtener mayor visibilidad
 - Actualmente estamos en la base de datos EBSCOhost
 - Piélagus 2016 no esta indexada porque los tiempos no coincidian con la convocatoria de Colciencias, la revista tiene muy buenos elementos de calidad, todos los ítems cumplen.
 - El último ítem ajustado fue el relacionado con la endogamia, tenemos un nivel muy bajo de endogamia, la mayoría de los artículos de la revista son internacionales
 - La calidad editorial de la revista Piélagus está muy buena y muy posiblemente para la próxima indexación podríamos quedar nuevamente y de forma semestral
 - En esta categorización, indexación, la revista Piélaguses es la que tiene mas alto impacto, el índice de h de la revista es 4, es la que tiene el índice h más alto, esto significa que el índice de citación que tiene Piélagus es superior al de cualquier otra revista de la Universidad Surcolombiana, eso hace que creamos que va a tener un alto impacto y una categoría de indexación en la próxima convocatoria.</t>
  </si>
  <si>
    <t>Apoyo Personas Movilidad Académica</t>
  </si>
  <si>
    <t>Se apoyó a la movilidad académica de 233 personas entre docentes, estudiantes y expertos invitados, algunos tales como:
1. Alix Yaneth Perdomo
2. Ángel Miller Roa Cruz
3. Carlos Fernando Gómez García
4. Celmira Laza Vásquez
5. Edgar Cometa Guarnizo
6. Francy Hollmin Salas Contreras
7. Fredy Humberto Escobar
8. Gilma Guayara Rojas
9. Gloria Cotrino Trujillo
10. José Leonardo Ruiz Méndez
11. Karla Noemí Jiménez Ventura
12. Leidy Carolina Cuervo
13. Luis Alexander Rojas Tejada
14. Luis Fernando Bonilla Camacho
15. María Fernanda Jaime Osorio
16. Nercy Gutiérrez Cardoso
17. Nubia Maritza Alejandro Hernández
18. Rocío Polanía Farfán
.
.
.
233. Víctor Manuel Guzmán Tovar</t>
  </si>
  <si>
    <t>Se apoyaron a 9 docentes para realizar ponencias:
1. Daniel Suescun Díaz
2. Alessandra Bermeo Díaz
3. Jassleidy Lasso Conde
4. Claudia Patricia Cantillo
5. Brayant Andrade Méndez
6. Hernando Gil Tovar
7. Alfredis González Hernández
8. Carlos Fernando Gómez García
9. Alexandra Uribe Sánchez
Programas Erasmus y M.A.C.A.</t>
  </si>
  <si>
    <t>Se participó en 2 asambelas visibles</t>
  </si>
  <si>
    <t xml:space="preserve">Consolidación Comité Regionalización (Construcción de la Política Regionalización)
</t>
  </si>
  <si>
    <t>Se cumplió la meta, la Politica de Regionalización se esta terminando</t>
  </si>
  <si>
    <t>Se apoyaron dos macroproyectos: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t>
  </si>
  <si>
    <t>PROYECTOS MENOR CUANTÍA</t>
  </si>
  <si>
    <t>Se cumplió la meta, 20 Proyectos de Menor Cuantía:
1. observatorio de los derechos de la infancia y la adolescencia en la ciudad de Neiva, alternativa de mejoramiento a la situación de los niños y niñas y adolescente de Neiva, a partir del empoderamiento de los derechos a la existencia y participación
2. fortalecimiento de la prevención, diagnóstico temprano y adecuado manejo de dengue dentro de un modelo de atención primaria en salud.
3. el placer de leer
4. ocio creativo del programa de educación artística y cultural
5. usos, manejo, comercialización y análisis bromatológico proximal del agraz (vitis tilifolia humb. &amp; bonpl.ex schult) en la comunidad que habita la zona de reserva del rio las ceibas (neiva-huila-colombia)
6. educando con amor: estrategias neurocognitivas y emocionales dirigidas a familias de niños con trastornos de conducta
7. formación a formadores en el manejo de la violencia y atención de víctimas de abuso sexual y maltrato
8. agenda joven con identidad política y comunicación 
9. contacto radio 
10. construcción de agenda de paz territorial: acciones en pedagogía para la paz
11. promotores de convivencia y paz territorial
12. programa educativo de nefroprotección y detección temprana de enfermedad renal crónica en personas con hta y/o diabetes
13. fortalecimiento de la organización comunal rural en los corregimientos guacirco, san luis, aipecito, chapinero, neiva-huila, Colombia
14. fortalecimiento de la organización comunal rural en los corregimientos el caguan, rio de las ceibas, vegalarga, fortalecillas, neiva-huila, colombia.
15. proyecto de proyección social del herbario surco- 2017
16. programa de intervención neurocognitivo en el componente ""cognición social"" en niños escolares de 7 a 12 años con diagnóstico de trastorno de conducta, vinculados a la institución educativa el limonar de la ciudad de Neiva.
17. derechos sexuales y reproductivos en familias en situación de desplazamiento en la ciudad de Neiva
18. formación para la paz, perdón y reconciliación con organizaciones sociales y culturales de los municipios de la zona norte del departamento del Huila; perdón - arte, experiencia con gestores culturales.
19. memoria para la paz 
20. Promoción de la creación de un lugar de memoria del mal, la paz y la reconciliación en la región surcolombiana"</t>
  </si>
  <si>
    <t>Se cumplió la meta, 54 Proyectos RSU (Actividades):
1. generando conciencia ambiental desde mi entorno local
2. promoción de los derechos sexuales y reproductivos en familias usuarias y madres comunitarias del programa fami y madres comunitarias del programa de 0 a 5 de la comuna nueve de la ciudad de Neiva en situación de vulnerabilidad.
3. cultura audiovisual surcolobiana
4. "fortalecimiento de la biblioteca popular francisco pacho vacca"
5. recurso ama-gi
6. formación de auditores estudiantiles en instituciones públicas de educación media en el municipio de Pitalito
7. promoción de la cultura del control público desde las aulas escolares de educación media o técnica en la institución educativa del municipio de Algeciras – Huila.
8. decimo seminario internacional de matemáticas aplicadas
9. ii encuentro de egresados 
10. 13 olimpiadas de física 
11. viii encuentro surcolombiano de psicología 
12. xxvi jornadas huilenses de pediatría
13. asesoramiento y acompañamiento a mipymes sector comercio, industria y organizaciones sociales 
14. simposio: sistemas de salud en el mundo 
15. i simposio "salud, enfermedad y prácticas curativas desde una perspectiva multicultural 
16. evento 18 años de la facien
17. responsabilidad social con la industria petrolera y minera
18. caminemos por la vida
19. programa radial en francés 
20. lectando
21. los agentes educativos de la primera infancia en el oriente  de acciones
22. la lectura y escritura como refugio 
23. prácticas de acompañamiento dirigida a docentes y estudiantes 
24. ii congreso internacional la física y sus aplicaciones. encuentro de profesionales en física para la socialización de proyectos de investigación, proyección social y la búsqueda de estrategias de impulso regional.
25. 85° simposio de actualización en diabetes 
26. congreso surcolombiano de endocrinología: "riesgo cardiovascular, el origen de todos los males. 
27. semana de la comunicación 1
28. semana de la comunicación 2
29. primer simposio en gerontología, programas y servicios para el adulto mayor "por una vejez con oportunidad"
30. ii seminario gestión de proyectos de investigación en el área de neurociencias y psicofisiológica 
31. foro: "responsabilidad de la academia en el posconflicto "
32. xiii simposio surcolombiano de parasitología, medicina tropical e inmunodeficiencias: arbovirosis (proyección social de especialización en pediatría)
33. 1er simposio de seguridad de la atención y humanización de los servicios de salud
34. segunda jornada de sensibilización en la prevención del cáncer en el Huila. liga contra el cáncer seccional Huila: 40 años de compromiso social en la lucha contra el cáncer 
35. seminario de derechos humanos y control social a la gestión publica 
36. expohuila 2017
37. 1er foro de salud mental en el ámbito laboral 
38. macroproyecto escuela de liderazgo para el posconflicto - emprendimiento
39. proyecto de proyección social alfabetización financiera para niños implementado en instituciones educativas  
40. promoción de la donación voluntaria y habitual de sangre en la comunidad huilense para generar la cultura de la donación y responder a las necesidades de demanda de sangre del  banco de sangre de la ese hospital universitario Hernando moncaleano perdomo-usco, neiva-2017.
41. cuidado domiciliario: soporte al cuidado y al cuidador 
42. programa de acompañamiento y tutoría a población en situación de desplazamiento y vulnerable receptora del municipio de Neiva.
43. hábitos saludables un camino hacia el autocuidado
44. formación e intervención comunitaria clínica del buen trato: centro amigable para el desarrollo integral de jóvenes surcolombianos (usco)
45. encuentros académicos de enfermería 2017
46. "diseño y validación psicométrica de una prueba vocacional para ser aplicada como criterio de ingreso al programa de enfermería de la universidad surcolombiana"
47. promoviendo salud para vivir- caminemos por la vida 
48. ix encuentro surcolombiano de psicología 
49. i congreso surcolombiano de epidemiologia 
50. promoción del consumo de moringa como complemento nutricional en población vulnerable, atendiendo las propiedades antimicrobianas
51. club de matemáticas 
52. "formación audiovisual para el resguardo indígena potrerito del municipio de la plata"
53. iv encuentro nacional de programas y facultades de ciencia política 
54. autocuidado de la persona  mayor</t>
  </si>
  <si>
    <t>EVENTOS ACADÉMICOS (SIMPOSIO, SEMINARIO, DIMPLOMADO, TALLERES, CONGRESOS, ETC)</t>
  </si>
  <si>
    <t>Se apoyó a la realización y participación de 65  eventos de proyección social:
1. Expohuila 2017
2. XV Congreso de la Sociedad Latinoamericana de Neuropsicología, en Brasil
3. IV Congreso Internacional de Modelos y Teorías de Enfermería a desarrollarse en la ciudad de San Gil Santander
Entre otros cuyos soportes están en Reposan en Proyeccíon Social</t>
  </si>
  <si>
    <t>Se está apoyó con la financiación de la suscripción de 5 convenios.
1. Convenio Intercambio Brasil
2. Contrato Interadministrativo 879
3. Convenio entre Universidad RHODE ISLAND y la USCO
4. Convenio de Cooperación de Ciencia y Tecnología 707 EMGESA y la Universidad Surcolombiana
5. Convenio internacional entre la Universidad de Manchester - Universidad de los Andes y Universidad Surcolombiana</t>
  </si>
  <si>
    <t>APOYO GESTIÓN ACADÉMICO ADMINISTRATIVA</t>
  </si>
  <si>
    <t>Se dieron 45 apoyos a la gestión Academico - Administrativa de la Proyección Social, apoyos entre contratación, resoluciones, ordenes administrativas:
1. ADRIANA MARIA CORTES CASTIBLANCO
2. ALBA LUZ OCAÑA CORTES
3. ALEXANDER SANCHEZ MANCHOLA
4. ALVARO LOZANO OSORIO
5. ANA MARIA MAÑOSCA RAMIREZ
6. ANDREA DEL SOCORRO GARRIDO TORRES
7. ARNOLD JAMPIER GONZALEZ ARAQUE
8. CAMILO ANDRES NUÑEZ VANEGAS
9. CARLOS ANDRES MONTALVO ALCE
10. CARLOS FERNANDO QUIMBAYA BERMUDEZ
11. CARLOS OCTAVIO QUIMBAYA RAMIREZ
12. CLAUDIA MILENA RODRIGUEZ
13. CLAUDIA PATRICIA VARGAS CORDOBA
14. DIANA YUVELLY VARGAS ROJAS
15. DIEGO FERNANDO GONZALEZ DÍAZ
16. EDWIN LEANDRO ALVIS ARIAS
17. FABIAN ESTEBAN CHARRY RODRIGUEZ
18. FRANK BARREIRO SANCHEZ
19. ISABEL GONZALEZ SIERRA
20. JAIME SALCEDO SANCHEZ
21. JESSICA PAOLA BERMEO VARGAS
22. JESUS DAVID FALLA ARANGO 
23. JUAN CAMILO FORERO
24. JUAN DIEGO CHAVARRO SANTANA
25. KAREN LICETH VALDERRAMA PENAGOS
26. LIBIA MARINA PRECIADO SOACHE
27. LINA MARIA VILLEGAS CALDERON
28. LIZETH VARGAS SANCHEZ
29. LOLA CABRERA CARDOZO
30. LUIS ANIBAL ARANDA MORALES
31. MANUEL ALEXANDER LARA CARDENAS
32. MARIA JIMENA BELLO MARTINEZ
33. MARIA NATALIA DEL PILAR DUQUE HIGUERA
34. MARIA PIEDAD RINCON PALECHOR
35. MARIA YEDME SANCHEZ PASTRANA
36. MARIO ANDRES SOTELO LUNA
37. MAYRA ALEJANDRA BUSTOS
38. MAYRA ALEJANDRA LOSADA
39. PIEDAD MARCELA PERILLA PARIS
40. SANDRA BIBIANA GOMEZ GOMEZ
41. SANDRA CONSTANZA VANEGAS CAMACHO 
42. TANIA ALEXANDRA MEDINA PEÑA
43. VIVIANA ANDREA LOPEZ VALLEJO
44. WILMER ALEXANDER BARBOSA RIVAS
45. XENNY YOLIMA MENDEZ JOMENEZ</t>
  </si>
  <si>
    <t>OPERACIONALIZACIÓN (- Número de Miembros de la Comunidad Universitaria Atendidas Mediante Asesorías) (CAMBIAR SOLO A OPERACIONALIZACIÓN)</t>
  </si>
  <si>
    <t>Se realizaron 71 asesorias a traves de la Unidad de Emprendimiento e Innovación</t>
  </si>
  <si>
    <t>centrodeemprendiemiento@usco.edu.co</t>
  </si>
  <si>
    <t>ALIANZAS</t>
  </si>
  <si>
    <t>Se realizaron 4 alianzas estratégicas que se vienen desarrollando:
1. Minero Energética
2. EPN
3. CAM
4. Club Rotario (RSU)
5. ASECOP
6. ALECOP</t>
  </si>
  <si>
    <t>PROYECTOS ALIANZAS</t>
  </si>
  <si>
    <t>Proyecto DCT Minero Energético
El Consejo academico aprobo la delegacion del profesor roberto vargas como contrapartida de la universidad al centro de desarrollo tecnologico minero energetico en la cual equivale a 440 horas de dedicacion de docente a las diferentes actividades y metas que de esa delegación se deriven.</t>
  </si>
  <si>
    <t>CREACIÓN DEL COMITÉ DE PAZ DE LA USCO</t>
  </si>
  <si>
    <t xml:space="preserve">Creación Comité Surcopaz: 
1. se ha avanzado en la construcción del acuerdo de inclusión de la comunidad excombatiente a formación académica y no se ha desarrollado con recursos de proyección social
2. Se ha realizado la visita de campo a la inspección de la montañita que fue alrededor de 14 horas en movilizar los docentes hasta la localidad.
3. Se desarrolló la estrategia o propuesta tanto técnica como financiera para el proyecto Surcopaz y fue socializada ante consejo académico.
4. Tarea, elaborar acuerdo para la inclusión de la población víctimas del conflicto. </t>
  </si>
  <si>
    <t>Se realizó 1 proyecto de Agenda Social:
1. Proyecto 1 es un convenio con la alcaldía de Neiva – Secretaria de Equidad – para desarrollar el diplomado en formación política de mujeres y quedaron inscritas 53 mujeres para todos los 5 módulos</t>
  </si>
  <si>
    <t xml:space="preserve">Área de exhibición en la Feria de orden Nacional con muestra artesanal y exposiciones culturales EXPOHUILA 2017, para exponer la oferta editorial y de servicios de la Universidad Surcolombiana.          </t>
  </si>
  <si>
    <t>ESTA EN PROCESO DE CONSTRUCCIÓN DEL PROYECTO DE ARTICULACIÓN DE LA EDUCACIÓN MEDIA CON LA EDUCACIÓN SUPERIOR CON LA SECRETARÍA DE EDUCACIÓN MUNICIPAL</t>
  </si>
  <si>
    <t>PLAN ESTRATEGICO, YA SE HIZO YA ESTA APORBADA LA POLITICA</t>
  </si>
  <si>
    <t>Se logró esta meta al 100%
1. Acuerdo No. 079 de 2010 del Consejo Superior de la Universidad Surcolombiana, "Por medio del cual se crea y organiza la Emisora Institucional Radio Universidad Surcolombiana 89.7 F.M."
2. Acuerdo numero 030 de 2013 (19 de julio) Consejo Superior de la Universidad Surcolombiana, "Por el cual se adopta la Política de Comunicaciones de la Universidad Surcolombiana".
3. Acuerdo 046 de 2016 (14 octubre) del Consejo Superior de la Universidad Surcolombiana, "Por el cual se adopta el Manual de Identidad e Imagen de la Universidad Surcolombiana".
4. Resolución 032 de 2017 (13 febrero) "Por medio de la cual se crea el Sistema de Comunicaciones de la Unviersidad Surcolombiana, conformado por 5 unidades:
1. Dirección de Comunicaciones
2. Coordinación de la Unidad de Prensa Institucional
3. Coordinación de Radio
4. Coordinación de Televisión
5. Coordinación de Comunicación Organizacional e Imagen Institucional</t>
  </si>
  <si>
    <t>ADQUISICIÓN HOSTING - REVISTA 2017</t>
  </si>
  <si>
    <t>Ya fue Renovado el Hosting 2017</t>
  </si>
  <si>
    <t>APOYO ADMINISTRATIVO PARA LA UNIDAD DE MEDIOS (PIEZAS COMUNICATIVAS)</t>
  </si>
  <si>
    <t>Se elaboraron, diseñaron y publicaron 4 ediciones del perdiodico "Desde la U", en lo audiovisual se contrato para el desarrollo del programa via universitaria a un editor y camarografo de television con quien se impulso el trabajo audiovisual y se dio a conocer el quehacer universitario desde diversas piezas comunicativas. En este sentido, las noticias nacionales de la estación experimental surcolombiana de recursos hidrobiológicos, la del chikunguña, la aprobación de la ampliación de la estampilla prouniversidad surcolombiana y la inahuguración de obras de infraestructura en Neiva y en las sedes, entre otros.
SISTEMA DE COMUNICACIONES
Coordinación de Presa
1. Total de Me Gusta de la Página UPI Unidad de Prensa: 10,614
2. Total Publicaciones: 851 
3. Total alcance de Publicaciones: 2,846,346
4. Centro Virtual de Noticias: 66,129 Visitas
5. Aplicación Móvil USCO APP: 150,931 Páginas/Visita
6. Se diseñaron, elaboraron editaron y publicaron 4 ediciones del Periódico “Desde la U”
7. Ruedas de Prensa: 4
8. Boletines de Prensa: 33
Coordinación de Radio (Radio Universidad Surcolombiana 89.7 FM – La radio de pensamiento Universal), retransmisión de la señal en Garzón, Pitalito y La Plata.
1. Programas Producidos y Emitidos: 1152
2. Total Invitados: 550
Coordinación de Comunicación Organizacional e Imagen Institucional
1. Red de Comunicación Interna: 35 Integrantes 
2. USCO en Marcha: 7 Ediciones
3. Asesorías: 88
4. Manual de Identidad e Imagen Institucional:
• Sedes
• 7 Facultades
• 3 Vicerrectorías
• Consejo Académico
• Los 20 Procesos (SGC)
Coordinación de Televisión 
1. Entrevistas Ágora: 51 Entrevistas
2. Ágora Surcolombiana: 4 Programas
3. INFOZOOM: 62 Programas
4. Televidentes (Estudio General de Medios (EGM)): 241,400 Televidentes</t>
  </si>
  <si>
    <t>SISTEMA DE COMUNICACIONES
Coordinación de Presa
1. Total de Me Gusta de la Página UPI Unidad de Prensa: 10,614
2. Total Publicaciones: 851 
3. Total alcance de Publicaciones: 2,846,346
4. Centro Virtual de Noticias: 66,129 Visitas
5. Aplicación Móvil USCO APP: 150,931 Páginas/Visita
6. Se diseñaron, elaboraron editaron y publicaron 4 ediciones del Periódico “Desde la U”
7. Ruedas de Prensa: 4
8. Boletines de Prensa: 33
Coordinación de Radio (Radio Universidad Surcolombiana 89.7 FM – La radio de pensamiento Universal), retransmisión de la señal en Garzón, Pitalito y La Plata.
1. Programas Producidos y Emitidos: 1152
2. Total Invitados: 550
Coordinación de Comunicación Organizacional e Imagen Institucional
1. Red de Comunicación Interna: 35 Integrantes 
2. USCO en Marcha: 7 Ediciones
3. Asesorías: 88
4. Manual de Identidad e Imagen Institucional:
• Sedes
• 7 Facultades
• 3 Vicerrectorías
• Consejo Académico
• Los 20 Procesos (SGC)
Coordinación de Televisión 
1. Entrevistas Ágora: 51 Entrevistas
2. Ágora Surcolombiana: 4 Programas
3. INFOZOOM: 62 Programas
4. Televidentes (Estudio General de Medios (EGM)): 241,400 Televidentes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</si>
</sst>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 #,##0_);[Red]\(&quot;$&quot;\ #,##0\)"/>
    <numFmt numFmtId="44" formatCode="_(&quot;$&quot;\ * #,##0.00_);_(&quot;$&quot;\ * \(#,##0.00\);_(&quot;$&quot;\ * &quot;-&quot;??_);_(@_)"/>
    <numFmt numFmtId="43" formatCode="_(* #,##0.00_);_(* \(#,##0.00\);_(* &quot;-&quot;??_);_(@_)"/>
    <numFmt numFmtId="164" formatCode="&quot;$ &quot;#,##0"/>
    <numFmt numFmtId="165" formatCode="_(* #,##0_);_(* \(#,##0\);_(* &quot;-&quot;??_);_(@_)"/>
    <numFmt numFmtId="166" formatCode="_-* #,##0.00\ [$€]_-;\-* #,##0.00\ [$€]_-;_-* &quot;-&quot;??\ [$€]_-;_-@_-"/>
    <numFmt numFmtId="167" formatCode="#,##0_ ;[Red]\-#,##0\ "/>
    <numFmt numFmtId="168" formatCode="_ * #,##0.00_ ;_ * \-#,##0.00_ ;_ * &quot;-&quot;??_ ;_ @_ "/>
    <numFmt numFmtId="169" formatCode="0.0%"/>
    <numFmt numFmtId="170" formatCode="_(&quot;$&quot;\ * #,##0_);_(&quot;$&quot;\ * \(#,##0\);_(&quot;$&quot;\ * &quot;-&quot;??_);_(@_)"/>
  </numFmts>
  <fonts count="53" x14ac:knownFonts="1">
    <font>
      <sz val="11"/>
      <color theme="1"/>
      <name val="Calibri"/>
      <family val="2"/>
      <scheme val="minor"/>
    </font>
    <font>
      <sz val="11"/>
      <color theme="1"/>
      <name val="Calibri"/>
      <family val="2"/>
      <scheme val="minor"/>
    </font>
    <font>
      <b/>
      <sz val="11"/>
      <color theme="1"/>
      <name val="Calibri"/>
      <family val="2"/>
      <scheme val="minor"/>
    </font>
    <font>
      <b/>
      <sz val="13.5"/>
      <color theme="1"/>
      <name val="Calibri"/>
      <family val="2"/>
      <scheme val="minor"/>
    </font>
    <font>
      <sz val="10"/>
      <name val="Arial"/>
      <family val="2"/>
      <charset val="1"/>
    </font>
    <font>
      <b/>
      <sz val="11"/>
      <color rgb="FF000000"/>
      <name val="Calibri"/>
      <family val="2"/>
      <charset val="1"/>
    </font>
    <font>
      <b/>
      <sz val="12"/>
      <color rgb="FF000000"/>
      <name val="Calibri"/>
      <family val="2"/>
      <charset val="1"/>
    </font>
    <font>
      <sz val="9"/>
      <color theme="1"/>
      <name val="Calibri"/>
      <family val="2"/>
      <scheme val="minor"/>
    </font>
    <font>
      <sz val="10"/>
      <color theme="1"/>
      <name val="Calibri"/>
      <family val="2"/>
      <scheme val="minor"/>
    </font>
    <font>
      <sz val="11"/>
      <name val="Calibri"/>
      <family val="2"/>
      <scheme val="minor"/>
    </font>
    <font>
      <sz val="9"/>
      <name val="Calibri"/>
      <family val="2"/>
      <scheme val="minor"/>
    </font>
    <font>
      <sz val="10"/>
      <name val="Arial"/>
      <family val="2"/>
    </font>
    <font>
      <sz val="10"/>
      <name val="Calibri"/>
      <family val="2"/>
      <scheme val="minor"/>
    </font>
    <font>
      <b/>
      <sz val="11"/>
      <name val="Arial"/>
      <family val="2"/>
    </font>
    <font>
      <b/>
      <sz val="10"/>
      <name val="Arial"/>
      <family val="2"/>
    </font>
    <font>
      <sz val="11"/>
      <name val="Arial"/>
      <family val="2"/>
    </font>
    <font>
      <b/>
      <sz val="12"/>
      <color theme="1"/>
      <name val="Calibri"/>
      <family val="2"/>
      <scheme val="minor"/>
    </font>
    <font>
      <sz val="12"/>
      <color theme="1"/>
      <name val="Calibri"/>
      <family val="2"/>
      <scheme val="minor"/>
    </font>
    <font>
      <b/>
      <sz val="10"/>
      <color theme="1"/>
      <name val="Arial"/>
      <family val="2"/>
    </font>
    <font>
      <b/>
      <sz val="10"/>
      <color theme="1"/>
      <name val="Calibri"/>
      <family val="2"/>
      <scheme val="minor"/>
    </font>
    <font>
      <sz val="11"/>
      <color indexed="8"/>
      <name val="Arial"/>
      <family val="2"/>
      <charset val="1"/>
    </font>
    <font>
      <sz val="12"/>
      <color theme="1"/>
      <name val="Tahoma"/>
      <family val="2"/>
    </font>
    <font>
      <sz val="11"/>
      <color rgb="FF000000"/>
      <name val="Calibri"/>
      <family val="2"/>
      <charset val="1"/>
    </font>
    <font>
      <b/>
      <sz val="15"/>
      <color theme="1"/>
      <name val="Calibri"/>
      <family val="2"/>
      <scheme val="minor"/>
    </font>
    <font>
      <b/>
      <sz val="12"/>
      <color theme="0"/>
      <name val="Arial"/>
      <family val="2"/>
    </font>
    <font>
      <b/>
      <sz val="12"/>
      <color theme="1"/>
      <name val="Arial"/>
      <family val="2"/>
    </font>
    <font>
      <b/>
      <sz val="13.5"/>
      <color theme="0"/>
      <name val="Calibri"/>
      <family val="2"/>
      <scheme val="minor"/>
    </font>
    <font>
      <sz val="10"/>
      <color theme="1"/>
      <name val="Arial"/>
      <family val="2"/>
    </font>
    <font>
      <b/>
      <sz val="11"/>
      <color theme="0"/>
      <name val="Calibri"/>
      <family val="2"/>
      <scheme val="minor"/>
    </font>
    <font>
      <sz val="11"/>
      <color theme="0"/>
      <name val="Calibri"/>
      <family val="2"/>
      <scheme val="minor"/>
    </font>
    <font>
      <b/>
      <sz val="9"/>
      <color rgb="FF000000"/>
      <name val="Calibri"/>
      <family val="2"/>
      <scheme val="minor"/>
    </font>
    <font>
      <b/>
      <sz val="16"/>
      <color theme="1"/>
      <name val="Batang"/>
      <family val="1"/>
    </font>
    <font>
      <b/>
      <sz val="10"/>
      <color rgb="FF000000"/>
      <name val="Calibri"/>
      <family val="2"/>
      <scheme val="minor"/>
    </font>
    <font>
      <sz val="10"/>
      <color rgb="FF000000"/>
      <name val="Calibri"/>
      <family val="2"/>
      <scheme val="minor"/>
    </font>
    <font>
      <b/>
      <sz val="16"/>
      <color rgb="FF000000"/>
      <name val="Batang"/>
      <family val="1"/>
    </font>
    <font>
      <b/>
      <sz val="16"/>
      <color rgb="FF000000"/>
      <name val="BatangChe"/>
      <family val="3"/>
    </font>
    <font>
      <b/>
      <sz val="9"/>
      <color theme="1"/>
      <name val="Calibri"/>
      <family val="2"/>
      <scheme val="minor"/>
    </font>
    <font>
      <sz val="10"/>
      <color rgb="FF000000"/>
      <name val="Arial"/>
      <family val="2"/>
    </font>
    <font>
      <b/>
      <sz val="15"/>
      <color theme="0"/>
      <name val="Calibri"/>
      <family val="2"/>
      <scheme val="minor"/>
    </font>
    <font>
      <b/>
      <sz val="12"/>
      <color theme="0"/>
      <name val="Calibri"/>
      <family val="2"/>
      <charset val="1"/>
    </font>
    <font>
      <b/>
      <sz val="11"/>
      <name val="Calibri"/>
      <family val="2"/>
      <scheme val="minor"/>
    </font>
    <font>
      <sz val="9"/>
      <color indexed="81"/>
      <name val="Tahoma"/>
      <charset val="1"/>
    </font>
    <font>
      <b/>
      <sz val="9"/>
      <color indexed="81"/>
      <name val="Tahoma"/>
      <charset val="1"/>
    </font>
    <font>
      <b/>
      <sz val="9"/>
      <name val="Calibri"/>
      <family val="2"/>
      <scheme val="minor"/>
    </font>
    <font>
      <b/>
      <i/>
      <sz val="12"/>
      <color theme="1"/>
      <name val="Calibri"/>
      <family val="2"/>
      <scheme val="minor"/>
    </font>
    <font>
      <b/>
      <i/>
      <sz val="16"/>
      <color theme="1"/>
      <name val="Calibri"/>
      <family val="2"/>
      <scheme val="minor"/>
    </font>
    <font>
      <sz val="8"/>
      <color theme="1"/>
      <name val="Calibri"/>
      <family val="2"/>
      <scheme val="minor"/>
    </font>
    <font>
      <i/>
      <sz val="11"/>
      <color indexed="8"/>
      <name val="Calibri"/>
      <family val="2"/>
      <scheme val="minor"/>
    </font>
    <font>
      <i/>
      <sz val="11"/>
      <color theme="1"/>
      <name val="Calibri"/>
      <family val="2"/>
      <scheme val="minor"/>
    </font>
    <font>
      <b/>
      <i/>
      <sz val="11"/>
      <color theme="1"/>
      <name val="Calibri"/>
      <family val="2"/>
      <scheme val="minor"/>
    </font>
    <font>
      <u/>
      <sz val="11"/>
      <color theme="10"/>
      <name val="Calibri"/>
      <family val="2"/>
      <scheme val="minor"/>
    </font>
    <font>
      <b/>
      <sz val="9"/>
      <color indexed="81"/>
      <name val="Tahoma"/>
      <family val="2"/>
    </font>
    <font>
      <sz val="9"/>
      <color indexed="81"/>
      <name val="Tahoma"/>
      <family val="2"/>
    </font>
  </fonts>
  <fills count="26">
    <fill>
      <patternFill patternType="none"/>
    </fill>
    <fill>
      <patternFill patternType="gray125"/>
    </fill>
    <fill>
      <patternFill patternType="solid">
        <fgColor theme="8" tint="0.59999389629810485"/>
        <bgColor indexed="65"/>
      </patternFill>
    </fill>
    <fill>
      <patternFill patternType="solid">
        <fgColor theme="6" tint="0.59999389629810485"/>
        <bgColor indexed="64"/>
      </patternFill>
    </fill>
    <fill>
      <patternFill patternType="solid">
        <fgColor theme="5" tint="0.39997558519241921"/>
        <bgColor indexed="64"/>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AD142E"/>
        <bgColor indexed="64"/>
      </patternFill>
    </fill>
    <fill>
      <patternFill patternType="solid">
        <fgColor rgb="FFFDEADA"/>
        <bgColor rgb="FFFDE9D9"/>
      </patternFill>
    </fill>
    <fill>
      <patternFill patternType="solid">
        <fgColor theme="9" tint="0.79998168889431442"/>
        <bgColor indexed="64"/>
      </patternFill>
    </fill>
    <fill>
      <patternFill patternType="solid">
        <fgColor rgb="FFB8CCE4"/>
        <bgColor indexed="64"/>
      </patternFill>
    </fill>
    <fill>
      <patternFill patternType="solid">
        <fgColor rgb="FFFFD5FF"/>
        <bgColor indexed="64"/>
      </patternFill>
    </fill>
    <fill>
      <patternFill patternType="solid">
        <fgColor rgb="FFD8E4BC"/>
        <bgColor indexed="64"/>
      </patternFill>
    </fill>
    <fill>
      <patternFill patternType="solid">
        <fgColor rgb="FFFFFFCC"/>
        <bgColor indexed="64"/>
      </patternFill>
    </fill>
    <fill>
      <patternFill patternType="solid">
        <fgColor rgb="FFFCD5B4"/>
        <bgColor indexed="64"/>
      </patternFill>
    </fill>
    <fill>
      <patternFill patternType="solid">
        <fgColor rgb="FFFFFFFF"/>
        <bgColor indexed="64"/>
      </patternFill>
    </fill>
    <fill>
      <patternFill patternType="solid">
        <fgColor rgb="FFAD142E"/>
        <bgColor rgb="FFE6B9B8"/>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59999389629810485"/>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rgb="FFAD142E"/>
      </left>
      <right style="thin">
        <color rgb="FFAD142E"/>
      </right>
      <top style="thin">
        <color rgb="FFAD142E"/>
      </top>
      <bottom style="thin">
        <color rgb="FFAD142E"/>
      </bottom>
      <diagonal/>
    </border>
    <border>
      <left/>
      <right/>
      <top style="thin">
        <color rgb="FFAD142E"/>
      </top>
      <bottom style="thin">
        <color indexed="64"/>
      </bottom>
      <diagonal/>
    </border>
    <border>
      <left/>
      <right style="thin">
        <color indexed="64"/>
      </right>
      <top style="thin">
        <color rgb="FFAD142E"/>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s>
  <cellStyleXfs count="18">
    <xf numFmtId="0" fontId="0" fillId="0" borderId="0"/>
    <xf numFmtId="43" fontId="1" fillId="0" borderId="0" applyFont="0" applyFill="0" applyBorder="0" applyAlignment="0" applyProtection="0"/>
    <xf numFmtId="0" fontId="4" fillId="0" borderId="0"/>
    <xf numFmtId="0" fontId="21"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11" fillId="0" borderId="0"/>
    <xf numFmtId="0" fontId="22" fillId="0" borderId="0"/>
    <xf numFmtId="9" fontId="1" fillId="0" borderId="0" applyFont="0" applyFill="0" applyBorder="0" applyAlignment="0" applyProtection="0"/>
    <xf numFmtId="44" fontId="1" fillId="0" borderId="0" applyFont="0" applyFill="0" applyBorder="0" applyAlignment="0" applyProtection="0"/>
    <xf numFmtId="0" fontId="50" fillId="0" borderId="0" applyNumberFormat="0" applyFill="0" applyBorder="0" applyAlignment="0" applyProtection="0"/>
  </cellStyleXfs>
  <cellXfs count="681">
    <xf numFmtId="0" fontId="0" fillId="0" borderId="0" xfId="0"/>
    <xf numFmtId="0" fontId="8" fillId="0" borderId="1" xfId="0" applyFont="1" applyBorder="1" applyAlignment="1">
      <alignment horizontal="center" vertical="center" wrapText="1"/>
    </xf>
    <xf numFmtId="0" fontId="9" fillId="0" borderId="1" xfId="0" applyFont="1" applyFill="1" applyBorder="1" applyAlignment="1">
      <alignment vertical="center" wrapText="1"/>
    </xf>
    <xf numFmtId="3" fontId="10" fillId="0" borderId="1" xfId="0" applyNumberFormat="1" applyFont="1" applyFill="1" applyBorder="1" applyAlignment="1">
      <alignment horizontal="center" vertical="center" wrapText="1"/>
    </xf>
    <xf numFmtId="3" fontId="11" fillId="9" borderId="1" xfId="0" applyNumberFormat="1" applyFont="1" applyFill="1" applyBorder="1" applyAlignment="1">
      <alignment horizontal="right" vertical="center" wrapText="1"/>
    </xf>
    <xf numFmtId="3" fontId="0" fillId="0" borderId="1" xfId="0" applyNumberFormat="1" applyBorder="1" applyAlignment="1">
      <alignment vertical="center"/>
    </xf>
    <xf numFmtId="0" fontId="0" fillId="0" borderId="1" xfId="0" applyBorder="1"/>
    <xf numFmtId="0" fontId="0" fillId="0" borderId="1" xfId="0" applyBorder="1" applyAlignment="1">
      <alignment vertical="top" wrapText="1"/>
    </xf>
    <xf numFmtId="0" fontId="0" fillId="0" borderId="1" xfId="0" applyFont="1" applyBorder="1" applyAlignment="1">
      <alignment horizontal="left" vertical="top" wrapText="1"/>
    </xf>
    <xf numFmtId="0" fontId="12" fillId="0" borderId="1" xfId="0" applyFont="1" applyBorder="1" applyAlignment="1">
      <alignment horizontal="center" vertical="center" wrapText="1"/>
    </xf>
    <xf numFmtId="0" fontId="0" fillId="0" borderId="1" xfId="0" applyBorder="1" applyAlignment="1">
      <alignment wrapText="1"/>
    </xf>
    <xf numFmtId="0" fontId="9" fillId="0" borderId="10" xfId="0" applyFont="1" applyFill="1" applyBorder="1" applyAlignment="1">
      <alignment vertical="center" wrapText="1"/>
    </xf>
    <xf numFmtId="3" fontId="10" fillId="0" borderId="2" xfId="0" applyNumberFormat="1" applyFont="1" applyFill="1" applyBorder="1" applyAlignment="1">
      <alignment horizontal="center" vertical="center" wrapText="1"/>
    </xf>
    <xf numFmtId="3" fontId="10" fillId="10" borderId="1" xfId="0" applyNumberFormat="1" applyFont="1" applyFill="1" applyBorder="1" applyAlignment="1">
      <alignment horizontal="center" vertical="center" wrapText="1"/>
    </xf>
    <xf numFmtId="3" fontId="14" fillId="10" borderId="1" xfId="0" applyNumberFormat="1" applyFont="1" applyFill="1" applyBorder="1" applyAlignment="1">
      <alignment horizontal="right" vertical="center" wrapText="1"/>
    </xf>
    <xf numFmtId="0" fontId="0" fillId="10" borderId="1" xfId="0" applyFill="1" applyBorder="1"/>
    <xf numFmtId="0" fontId="0" fillId="9" borderId="0" xfId="0" applyFill="1"/>
    <xf numFmtId="0" fontId="9" fillId="0" borderId="4" xfId="0" applyFont="1" applyFill="1" applyBorder="1" applyAlignment="1">
      <alignment vertical="center" wrapText="1"/>
    </xf>
    <xf numFmtId="0" fontId="8" fillId="0"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Fill="1"/>
    <xf numFmtId="0" fontId="0" fillId="0" borderId="1" xfId="0" applyFill="1" applyBorder="1" applyAlignment="1">
      <alignment vertical="center" wrapText="1"/>
    </xf>
    <xf numFmtId="0" fontId="0" fillId="0" borderId="1" xfId="0" applyBorder="1" applyAlignment="1">
      <alignment horizontal="center" vertical="center"/>
    </xf>
    <xf numFmtId="3" fontId="10" fillId="11" borderId="1" xfId="0" applyNumberFormat="1" applyFont="1" applyFill="1" applyBorder="1" applyAlignment="1">
      <alignment horizontal="center" vertical="center" wrapText="1"/>
    </xf>
    <xf numFmtId="0" fontId="9" fillId="0" borderId="2" xfId="0" applyFont="1" applyFill="1" applyBorder="1" applyAlignment="1">
      <alignment vertical="center" wrapText="1"/>
    </xf>
    <xf numFmtId="3" fontId="10" fillId="0" borderId="1" xfId="0" applyNumberFormat="1" applyFont="1" applyFill="1" applyBorder="1" applyAlignment="1">
      <alignment horizontal="center" vertical="top"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3" fontId="0" fillId="0" borderId="1" xfId="0" applyNumberFormat="1" applyFill="1" applyBorder="1" applyAlignment="1">
      <alignment horizontal="center" vertical="center"/>
    </xf>
    <xf numFmtId="0" fontId="16" fillId="0" borderId="1" xfId="0" applyFont="1" applyFill="1" applyBorder="1" applyAlignment="1">
      <alignment horizontal="center" vertical="center"/>
    </xf>
    <xf numFmtId="0" fontId="0" fillId="0" borderId="1" xfId="0" applyBorder="1" applyAlignment="1">
      <alignment horizontal="left" vertical="top" wrapText="1"/>
    </xf>
    <xf numFmtId="0" fontId="0" fillId="0" borderId="9" xfId="0" applyFill="1" applyBorder="1" applyAlignment="1">
      <alignment horizontal="center" vertical="center" wrapText="1"/>
    </xf>
    <xf numFmtId="3" fontId="0" fillId="0" borderId="1" xfId="0" applyNumberFormat="1" applyBorder="1" applyAlignment="1">
      <alignment horizontal="center" vertical="center"/>
    </xf>
    <xf numFmtId="0" fontId="10" fillId="0" borderId="1"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9" fillId="9" borderId="1" xfId="0" applyFont="1" applyFill="1" applyBorder="1" applyAlignment="1">
      <alignment vertical="center" wrapText="1"/>
    </xf>
    <xf numFmtId="0" fontId="0" fillId="0" borderId="2" xfId="0" applyBorder="1" applyAlignment="1">
      <alignment vertical="center" wrapText="1"/>
    </xf>
    <xf numFmtId="0" fontId="8" fillId="10" borderId="1" xfId="0" applyFont="1" applyFill="1" applyBorder="1" applyAlignment="1">
      <alignment horizontal="center" vertical="center" wrapText="1"/>
    </xf>
    <xf numFmtId="0" fontId="0" fillId="0" borderId="0" xfId="0" applyBorder="1"/>
    <xf numFmtId="0" fontId="15" fillId="0" borderId="0" xfId="0" applyFont="1" applyFill="1" applyBorder="1"/>
    <xf numFmtId="3" fontId="0" fillId="0" borderId="0" xfId="0" applyNumberFormat="1"/>
    <xf numFmtId="3" fontId="12" fillId="0" borderId="0" xfId="0" applyNumberFormat="1" applyFont="1" applyBorder="1"/>
    <xf numFmtId="0" fontId="15" fillId="0" borderId="0" xfId="0" applyFont="1" applyBorder="1"/>
    <xf numFmtId="164" fontId="20" fillId="0" borderId="0" xfId="0" applyNumberFormat="1" applyFont="1" applyFill="1" applyBorder="1" applyAlignment="1">
      <alignment horizontal="right" vertical="center"/>
    </xf>
    <xf numFmtId="3" fontId="2" fillId="0" borderId="0" xfId="0" applyNumberFormat="1" applyFont="1" applyBorder="1"/>
    <xf numFmtId="3" fontId="16" fillId="0" borderId="1" xfId="0" applyNumberFormat="1" applyFont="1" applyBorder="1" applyAlignment="1">
      <alignment horizontal="center" vertical="center"/>
    </xf>
    <xf numFmtId="0" fontId="9" fillId="0" borderId="9" xfId="0" applyFont="1" applyFill="1" applyBorder="1" applyAlignment="1">
      <alignment vertical="center" wrapText="1"/>
    </xf>
    <xf numFmtId="3" fontId="10" fillId="0" borderId="1" xfId="0" applyNumberFormat="1" applyFont="1" applyFill="1" applyBorder="1" applyAlignment="1">
      <alignment horizontal="center" vertical="center" wrapText="1"/>
    </xf>
    <xf numFmtId="0" fontId="0" fillId="0" borderId="1" xfId="0" applyBorder="1" applyAlignment="1">
      <alignment horizontal="center"/>
    </xf>
    <xf numFmtId="3" fontId="11" fillId="9" borderId="1" xfId="0" applyNumberFormat="1" applyFont="1" applyFill="1" applyBorder="1" applyAlignment="1">
      <alignment horizontal="center" vertical="center" wrapText="1"/>
    </xf>
    <xf numFmtId="9" fontId="0" fillId="0" borderId="1" xfId="15" applyFont="1" applyBorder="1" applyAlignment="1">
      <alignment horizontal="center" vertical="center"/>
    </xf>
    <xf numFmtId="10" fontId="0" fillId="0" borderId="1" xfId="15" applyNumberFormat="1" applyFont="1" applyFill="1" applyBorder="1" applyAlignment="1">
      <alignment horizontal="center" vertical="center"/>
    </xf>
    <xf numFmtId="10" fontId="9" fillId="0" borderId="2" xfId="15" applyNumberFormat="1" applyFont="1" applyFill="1" applyBorder="1" applyAlignment="1">
      <alignment horizontal="center" vertical="center"/>
    </xf>
    <xf numFmtId="0" fontId="6" fillId="5" borderId="2" xfId="2" applyNumberFormat="1" applyFont="1" applyFill="1" applyBorder="1" applyAlignment="1" applyProtection="1">
      <alignment horizontal="center" vertical="center" wrapText="1"/>
    </xf>
    <xf numFmtId="3" fontId="0" fillId="0" borderId="4" xfId="0" applyNumberFormat="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9" fontId="0" fillId="0" borderId="1" xfId="0" applyNumberFormat="1" applyFont="1" applyBorder="1" applyAlignment="1">
      <alignment horizontal="center" vertical="center" wrapText="1"/>
    </xf>
    <xf numFmtId="0" fontId="0" fillId="0" borderId="0" xfId="0" applyFont="1" applyBorder="1" applyAlignment="1">
      <alignment horizontal="center" vertical="top" wrapText="1"/>
    </xf>
    <xf numFmtId="0" fontId="0" fillId="0" borderId="0" xfId="0" applyFont="1" applyBorder="1" applyAlignment="1">
      <alignment horizontal="center" vertical="center" wrapText="1"/>
    </xf>
    <xf numFmtId="0" fontId="8" fillId="0" borderId="0" xfId="0" applyFont="1" applyBorder="1" applyAlignment="1">
      <alignment horizontal="center" vertical="center" wrapText="1"/>
    </xf>
    <xf numFmtId="1" fontId="2" fillId="0" borderId="0" xfId="0" applyNumberFormat="1" applyFont="1" applyBorder="1" applyAlignment="1">
      <alignment horizontal="center" vertical="center"/>
    </xf>
    <xf numFmtId="1" fontId="0" fillId="0" borderId="0" xfId="0" applyNumberFormat="1" applyFont="1" applyBorder="1" applyAlignment="1">
      <alignment horizontal="center" vertical="center"/>
    </xf>
    <xf numFmtId="0" fontId="6" fillId="0" borderId="0" xfId="0" applyFont="1" applyFill="1" applyBorder="1" applyAlignment="1">
      <alignment vertical="center"/>
    </xf>
    <xf numFmtId="1" fontId="0" fillId="0" borderId="0" xfId="0" applyNumberFormat="1"/>
    <xf numFmtId="0" fontId="2" fillId="0" borderId="0" xfId="0" applyFont="1"/>
    <xf numFmtId="0" fontId="16" fillId="14" borderId="1" xfId="0" applyFont="1" applyFill="1" applyBorder="1" applyAlignment="1">
      <alignment horizontal="center" vertical="center"/>
    </xf>
    <xf numFmtId="0" fontId="0" fillId="0" borderId="1" xfId="0" applyBorder="1" applyAlignment="1">
      <alignment horizontal="justify" vertical="top" wrapText="1"/>
    </xf>
    <xf numFmtId="0" fontId="9" fillId="0" borderId="2"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justify" vertical="center" wrapText="1"/>
    </xf>
    <xf numFmtId="9" fontId="9" fillId="0" borderId="2"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3" fontId="16" fillId="0" borderId="16" xfId="0" applyNumberFormat="1" applyFont="1" applyBorder="1" applyAlignment="1">
      <alignment horizontal="center" vertical="center"/>
    </xf>
    <xf numFmtId="3" fontId="16" fillId="0" borderId="4" xfId="0" applyNumberFormat="1" applyFont="1" applyBorder="1" applyAlignment="1">
      <alignment horizontal="center" vertical="center"/>
    </xf>
    <xf numFmtId="165" fontId="16" fillId="0" borderId="4" xfId="0" applyNumberFormat="1" applyFont="1" applyFill="1" applyBorder="1" applyAlignment="1">
      <alignment horizontal="center" vertical="center"/>
    </xf>
    <xf numFmtId="37" fontId="0" fillId="0" borderId="1" xfId="1" applyNumberFormat="1" applyFont="1" applyBorder="1" applyAlignment="1">
      <alignment horizontal="center" vertical="center"/>
    </xf>
    <xf numFmtId="3" fontId="0" fillId="0" borderId="1" xfId="1" applyNumberFormat="1" applyFont="1" applyBorder="1" applyAlignment="1">
      <alignment horizontal="center" vertical="center"/>
    </xf>
    <xf numFmtId="165" fontId="16" fillId="0" borderId="1" xfId="0" applyNumberFormat="1" applyFont="1" applyBorder="1" applyAlignment="1">
      <alignment horizontal="center" vertical="center"/>
    </xf>
    <xf numFmtId="0" fontId="8" fillId="0" borderId="1" xfId="0" applyFont="1" applyBorder="1" applyAlignment="1">
      <alignment vertical="top" wrapText="1"/>
    </xf>
    <xf numFmtId="0" fontId="8" fillId="0" borderId="1" xfId="0" applyFont="1" applyBorder="1" applyAlignment="1">
      <alignment horizontal="justify" vertical="top"/>
    </xf>
    <xf numFmtId="0" fontId="8" fillId="0" borderId="1" xfId="0" applyFont="1" applyBorder="1" applyAlignment="1">
      <alignment wrapText="1"/>
    </xf>
    <xf numFmtId="0" fontId="8" fillId="0" borderId="1" xfId="0" applyFont="1" applyBorder="1" applyAlignment="1">
      <alignment vertical="center" wrapText="1"/>
    </xf>
    <xf numFmtId="0" fontId="0" fillId="0" borderId="20" xfId="0" applyBorder="1"/>
    <xf numFmtId="0" fontId="30" fillId="15" borderId="22" xfId="0" applyFont="1" applyFill="1" applyBorder="1" applyAlignment="1">
      <alignment horizontal="center" vertical="center" wrapText="1"/>
    </xf>
    <xf numFmtId="0" fontId="32" fillId="0" borderId="22" xfId="0" applyFont="1" applyBorder="1" applyAlignment="1">
      <alignment vertical="center" wrapText="1"/>
    </xf>
    <xf numFmtId="0" fontId="33" fillId="0" borderId="22" xfId="0" applyFont="1" applyBorder="1" applyAlignment="1">
      <alignment vertical="center" wrapText="1"/>
    </xf>
    <xf numFmtId="0" fontId="32" fillId="0" borderId="25" xfId="0" applyFont="1" applyBorder="1" applyAlignment="1">
      <alignment horizontal="center" vertical="center" wrapText="1"/>
    </xf>
    <xf numFmtId="3" fontId="32" fillId="0" borderId="25" xfId="0" applyNumberFormat="1" applyFont="1" applyBorder="1" applyAlignment="1">
      <alignment horizontal="center" vertical="center"/>
    </xf>
    <xf numFmtId="0" fontId="0" fillId="0" borderId="0" xfId="0" applyAlignment="1">
      <alignment vertical="center" wrapText="1"/>
    </xf>
    <xf numFmtId="0" fontId="32" fillId="0" borderId="25" xfId="0" applyFont="1" applyBorder="1" applyAlignment="1">
      <alignment vertical="center" wrapText="1"/>
    </xf>
    <xf numFmtId="0" fontId="32" fillId="0" borderId="20" xfId="0" applyFont="1" applyBorder="1" applyAlignment="1">
      <alignment horizontal="center" vertical="center"/>
    </xf>
    <xf numFmtId="0" fontId="32" fillId="0" borderId="22" xfId="0" applyFont="1" applyBorder="1" applyAlignment="1">
      <alignment horizontal="center" vertical="center"/>
    </xf>
    <xf numFmtId="9" fontId="32" fillId="0" borderId="22" xfId="0" applyNumberFormat="1" applyFont="1" applyBorder="1" applyAlignment="1">
      <alignment horizontal="center" vertical="center"/>
    </xf>
    <xf numFmtId="9" fontId="33" fillId="0" borderId="22" xfId="0" applyNumberFormat="1" applyFont="1" applyBorder="1" applyAlignment="1">
      <alignment horizontal="center" vertical="center"/>
    </xf>
    <xf numFmtId="0" fontId="33" fillId="0" borderId="22" xfId="0" applyFont="1" applyBorder="1" applyAlignment="1">
      <alignment horizontal="justify" vertical="center" wrapText="1"/>
    </xf>
    <xf numFmtId="10" fontId="33" fillId="0" borderId="22" xfId="0" applyNumberFormat="1" applyFont="1" applyBorder="1" applyAlignment="1">
      <alignment horizontal="center" vertical="center"/>
    </xf>
    <xf numFmtId="0" fontId="30" fillId="15" borderId="17" xfId="0" applyFont="1" applyFill="1" applyBorder="1" applyAlignment="1">
      <alignment horizontal="center" vertical="center" wrapText="1"/>
    </xf>
    <xf numFmtId="9" fontId="33" fillId="0" borderId="17" xfId="0" applyNumberFormat="1" applyFont="1" applyBorder="1" applyAlignment="1">
      <alignment horizontal="center" vertical="center"/>
    </xf>
    <xf numFmtId="1" fontId="33" fillId="0" borderId="17" xfId="0" applyNumberFormat="1" applyFont="1" applyBorder="1" applyAlignment="1">
      <alignment horizontal="center" vertical="center"/>
    </xf>
    <xf numFmtId="0" fontId="32" fillId="0" borderId="22" xfId="0" applyFont="1" applyBorder="1" applyAlignment="1">
      <alignment horizontal="justify" vertical="center" wrapText="1"/>
    </xf>
    <xf numFmtId="0" fontId="8" fillId="0" borderId="22" xfId="0" applyFont="1" applyBorder="1" applyAlignment="1">
      <alignment horizontal="center" vertical="center"/>
    </xf>
    <xf numFmtId="0" fontId="8" fillId="0" borderId="22" xfId="0" applyFont="1" applyBorder="1" applyAlignment="1">
      <alignment horizontal="center" vertical="center" wrapText="1"/>
    </xf>
    <xf numFmtId="0" fontId="8" fillId="0" borderId="22" xfId="0" applyFont="1" applyBorder="1" applyAlignment="1">
      <alignment vertical="center" wrapText="1"/>
    </xf>
    <xf numFmtId="0" fontId="33" fillId="0" borderId="25" xfId="0" applyFont="1" applyBorder="1" applyAlignment="1">
      <alignment vertical="center" wrapText="1"/>
    </xf>
    <xf numFmtId="0" fontId="8" fillId="0" borderId="25" xfId="0" applyFont="1" applyBorder="1" applyAlignment="1">
      <alignment horizontal="center" vertical="center" wrapText="1"/>
    </xf>
    <xf numFmtId="0" fontId="33" fillId="0" borderId="20" xfId="0" applyFont="1" applyBorder="1" applyAlignment="1">
      <alignment vertical="center" wrapText="1"/>
    </xf>
    <xf numFmtId="0" fontId="8" fillId="0" borderId="20" xfId="0" applyFont="1" applyBorder="1" applyAlignment="1">
      <alignment horizontal="center" vertical="center" wrapText="1"/>
    </xf>
    <xf numFmtId="0" fontId="32" fillId="16" borderId="0" xfId="0" applyFont="1" applyFill="1" applyBorder="1" applyAlignment="1">
      <alignment horizontal="center" vertical="center" wrapText="1"/>
    </xf>
    <xf numFmtId="9" fontId="33" fillId="0" borderId="0" xfId="0" applyNumberFormat="1" applyFont="1" applyBorder="1" applyAlignment="1">
      <alignment horizontal="center" vertical="center"/>
    </xf>
    <xf numFmtId="9" fontId="33" fillId="0" borderId="0" xfId="0" applyNumberFormat="1" applyFont="1" applyBorder="1" applyAlignment="1">
      <alignment vertical="center"/>
    </xf>
    <xf numFmtId="0" fontId="32" fillId="16" borderId="17" xfId="0" applyFont="1" applyFill="1" applyBorder="1" applyAlignment="1">
      <alignment horizontal="center" vertical="center" wrapText="1"/>
    </xf>
    <xf numFmtId="0" fontId="32" fillId="16" borderId="17" xfId="0" applyFont="1" applyFill="1" applyBorder="1" applyAlignment="1">
      <alignment vertical="center" wrapText="1"/>
    </xf>
    <xf numFmtId="9" fontId="33" fillId="0" borderId="17" xfId="0" applyNumberFormat="1" applyFont="1" applyBorder="1" applyAlignment="1">
      <alignment vertical="center"/>
    </xf>
    <xf numFmtId="0" fontId="32" fillId="17" borderId="22" xfId="0" applyFont="1" applyFill="1" applyBorder="1" applyAlignment="1">
      <alignment horizontal="center" vertical="center"/>
    </xf>
    <xf numFmtId="0" fontId="33" fillId="0" borderId="22" xfId="0" applyFont="1" applyBorder="1" applyAlignment="1">
      <alignment horizontal="center" vertical="center"/>
    </xf>
    <xf numFmtId="9" fontId="33" fillId="0" borderId="25" xfId="0" applyNumberFormat="1" applyFont="1" applyBorder="1" applyAlignment="1">
      <alignment horizontal="center" vertical="center"/>
    </xf>
    <xf numFmtId="9" fontId="33" fillId="0" borderId="22" xfId="0" applyNumberFormat="1" applyFont="1" applyBorder="1" applyAlignment="1">
      <alignment horizontal="center" vertical="center" wrapText="1"/>
    </xf>
    <xf numFmtId="9" fontId="33" fillId="0" borderId="21" xfId="0" applyNumberFormat="1" applyFont="1" applyBorder="1" applyAlignment="1">
      <alignment horizontal="center" vertical="center"/>
    </xf>
    <xf numFmtId="0" fontId="33" fillId="0" borderId="20" xfId="0" applyFont="1" applyBorder="1" applyAlignment="1">
      <alignment horizontal="center" vertical="center" wrapText="1"/>
    </xf>
    <xf numFmtId="0" fontId="33" fillId="0" borderId="20" xfId="0" applyFont="1" applyBorder="1" applyAlignment="1">
      <alignment horizontal="center" vertical="center"/>
    </xf>
    <xf numFmtId="0" fontId="33" fillId="0" borderId="22" xfId="0" applyFont="1" applyBorder="1" applyAlignment="1">
      <alignment horizontal="center" vertical="center" wrapText="1"/>
    </xf>
    <xf numFmtId="0" fontId="30" fillId="18" borderId="22" xfId="0" applyFont="1" applyFill="1" applyBorder="1" applyAlignment="1">
      <alignment horizontal="center" vertical="center" wrapText="1"/>
    </xf>
    <xf numFmtId="0" fontId="32" fillId="0" borderId="22" xfId="0" applyFont="1" applyBorder="1" applyAlignment="1">
      <alignment horizontal="center" vertical="center" wrapText="1"/>
    </xf>
    <xf numFmtId="9" fontId="33" fillId="0" borderId="22" xfId="0" applyNumberFormat="1" applyFont="1" applyBorder="1" applyAlignment="1">
      <alignment horizontal="right" vertical="center" wrapText="1"/>
    </xf>
    <xf numFmtId="0" fontId="30" fillId="19" borderId="22" xfId="0" applyFont="1" applyFill="1" applyBorder="1" applyAlignment="1">
      <alignment horizontal="center" vertical="center" wrapText="1"/>
    </xf>
    <xf numFmtId="9" fontId="32" fillId="0" borderId="22" xfId="0" applyNumberFormat="1" applyFont="1" applyBorder="1" applyAlignment="1">
      <alignment horizontal="center" vertical="center" wrapText="1"/>
    </xf>
    <xf numFmtId="3" fontId="32" fillId="0" borderId="22" xfId="0" applyNumberFormat="1" applyFont="1" applyBorder="1" applyAlignment="1">
      <alignment horizontal="center" vertical="center" wrapText="1"/>
    </xf>
    <xf numFmtId="3" fontId="19" fillId="0" borderId="22" xfId="0" applyNumberFormat="1" applyFont="1" applyBorder="1" applyAlignment="1">
      <alignment horizontal="center" vertical="center" wrapText="1"/>
    </xf>
    <xf numFmtId="9" fontId="8" fillId="0" borderId="22" xfId="0" applyNumberFormat="1" applyFont="1" applyBorder="1" applyAlignment="1">
      <alignment horizontal="center" vertical="center"/>
    </xf>
    <xf numFmtId="0" fontId="37" fillId="0" borderId="22" xfId="0" applyFont="1" applyBorder="1" applyAlignment="1">
      <alignment vertical="center" wrapText="1"/>
    </xf>
    <xf numFmtId="6" fontId="32" fillId="0" borderId="22" xfId="0" applyNumberFormat="1" applyFont="1" applyBorder="1" applyAlignment="1">
      <alignment horizontal="center" vertical="center" wrapText="1"/>
    </xf>
    <xf numFmtId="0" fontId="32" fillId="0" borderId="20" xfId="0" applyFont="1" applyBorder="1" applyAlignment="1">
      <alignment vertical="center" wrapText="1"/>
    </xf>
    <xf numFmtId="0" fontId="33" fillId="20" borderId="22" xfId="0" applyFont="1" applyFill="1" applyBorder="1" applyAlignment="1">
      <alignment vertical="center" wrapText="1"/>
    </xf>
    <xf numFmtId="0" fontId="0" fillId="0" borderId="1" xfId="0" applyFont="1" applyBorder="1" applyAlignment="1">
      <alignment horizontal="justify" vertical="top" wrapText="1"/>
    </xf>
    <xf numFmtId="0" fontId="28" fillId="12" borderId="1" xfId="0" applyFont="1" applyFill="1" applyBorder="1" applyAlignment="1">
      <alignment horizontal="center" vertical="center"/>
    </xf>
    <xf numFmtId="0" fontId="5" fillId="13" borderId="1" xfId="0" applyFont="1" applyFill="1" applyBorder="1" applyAlignment="1">
      <alignment horizontal="center" vertical="center"/>
    </xf>
    <xf numFmtId="0" fontId="28" fillId="12" borderId="1" xfId="0" applyFont="1" applyFill="1" applyBorder="1" applyAlignment="1">
      <alignment horizontal="center" vertical="center" wrapText="1"/>
    </xf>
    <xf numFmtId="0" fontId="0" fillId="0" borderId="0" xfId="0" applyAlignment="1">
      <alignment wrapText="1"/>
    </xf>
    <xf numFmtId="3" fontId="0" fillId="0" borderId="0" xfId="0" applyNumberFormat="1" applyBorder="1" applyAlignment="1">
      <alignment horizontal="center" vertical="center"/>
    </xf>
    <xf numFmtId="9" fontId="0" fillId="0" borderId="0" xfId="15" applyFont="1" applyBorder="1" applyAlignment="1">
      <alignment horizontal="center" vertical="center"/>
    </xf>
    <xf numFmtId="10" fontId="0" fillId="0" borderId="0" xfId="15" applyNumberFormat="1" applyFont="1" applyBorder="1" applyAlignment="1">
      <alignment horizontal="center" vertical="center"/>
    </xf>
    <xf numFmtId="10" fontId="0" fillId="0" borderId="1" xfId="0" applyNumberFormat="1" applyBorder="1" applyAlignment="1">
      <alignment horizontal="center" vertical="center"/>
    </xf>
    <xf numFmtId="10" fontId="28" fillId="12" borderId="1" xfId="0" applyNumberFormat="1" applyFont="1" applyFill="1" applyBorder="1" applyAlignment="1">
      <alignment horizontal="center" vertical="center"/>
    </xf>
    <xf numFmtId="0" fontId="28" fillId="12" borderId="33" xfId="0" applyFont="1" applyFill="1" applyBorder="1" applyAlignment="1">
      <alignment horizontal="center" vertical="center"/>
    </xf>
    <xf numFmtId="10" fontId="29" fillId="12" borderId="35" xfId="0" applyNumberFormat="1" applyFont="1" applyFill="1" applyBorder="1" applyAlignment="1">
      <alignment horizontal="center" vertical="center"/>
    </xf>
    <xf numFmtId="10" fontId="29" fillId="12" borderId="36" xfId="0" applyNumberFormat="1" applyFont="1" applyFill="1" applyBorder="1" applyAlignment="1">
      <alignment horizontal="center" vertical="center"/>
    </xf>
    <xf numFmtId="10" fontId="0" fillId="0" borderId="33" xfId="0" applyNumberFormat="1" applyBorder="1" applyAlignment="1">
      <alignment horizontal="center" vertical="center"/>
    </xf>
    <xf numFmtId="10" fontId="9" fillId="0" borderId="1" xfId="15" applyNumberFormat="1" applyFont="1" applyFill="1" applyBorder="1" applyAlignment="1">
      <alignment horizontal="center" vertical="center"/>
    </xf>
    <xf numFmtId="0" fontId="28" fillId="12" borderId="2" xfId="0" applyFont="1" applyFill="1" applyBorder="1" applyAlignment="1">
      <alignment horizontal="center" vertical="center"/>
    </xf>
    <xf numFmtId="0" fontId="28" fillId="12" borderId="39" xfId="0" applyFont="1" applyFill="1" applyBorder="1" applyAlignment="1">
      <alignment horizontal="center" vertical="center"/>
    </xf>
    <xf numFmtId="10" fontId="29" fillId="12" borderId="4" xfId="0" applyNumberFormat="1" applyFont="1" applyFill="1" applyBorder="1" applyAlignment="1">
      <alignment horizontal="center" vertical="center"/>
    </xf>
    <xf numFmtId="10" fontId="28" fillId="12" borderId="1" xfId="15" applyNumberFormat="1" applyFont="1" applyFill="1" applyBorder="1" applyAlignment="1">
      <alignment horizontal="center" vertical="center"/>
    </xf>
    <xf numFmtId="0" fontId="28" fillId="12" borderId="20" xfId="0" applyFont="1" applyFill="1" applyBorder="1" applyAlignment="1">
      <alignment vertical="center"/>
    </xf>
    <xf numFmtId="0" fontId="28" fillId="12" borderId="17" xfId="0" applyFont="1" applyFill="1" applyBorder="1" applyAlignment="1">
      <alignment horizontal="center" vertical="center"/>
    </xf>
    <xf numFmtId="0" fontId="28" fillId="12" borderId="26" xfId="0" applyFont="1" applyFill="1" applyBorder="1" applyAlignment="1">
      <alignment horizontal="center" vertical="center"/>
    </xf>
    <xf numFmtId="0" fontId="0" fillId="0" borderId="20" xfId="0" applyBorder="1" applyAlignment="1"/>
    <xf numFmtId="10" fontId="9" fillId="0" borderId="17" xfId="15" applyNumberFormat="1" applyFont="1" applyFill="1" applyBorder="1" applyAlignment="1">
      <alignment horizontal="center" vertical="center"/>
    </xf>
    <xf numFmtId="10" fontId="9" fillId="0" borderId="26" xfId="15" applyNumberFormat="1" applyFont="1" applyFill="1" applyBorder="1" applyAlignment="1">
      <alignment horizontal="center" vertical="center"/>
    </xf>
    <xf numFmtId="0" fontId="0" fillId="0" borderId="21" xfId="0" applyBorder="1"/>
    <xf numFmtId="10" fontId="9" fillId="0" borderId="18" xfId="15" applyNumberFormat="1" applyFont="1" applyFill="1" applyBorder="1" applyAlignment="1">
      <alignment horizontal="center" vertical="center"/>
    </xf>
    <xf numFmtId="10" fontId="9" fillId="0" borderId="44" xfId="15" applyNumberFormat="1" applyFont="1" applyFill="1" applyBorder="1" applyAlignment="1">
      <alignment horizontal="center" vertical="center"/>
    </xf>
    <xf numFmtId="0" fontId="9" fillId="0" borderId="1" xfId="0" applyFont="1" applyFill="1" applyBorder="1" applyAlignment="1">
      <alignment horizontal="justify" vertical="center" wrapText="1"/>
    </xf>
    <xf numFmtId="10" fontId="0" fillId="0" borderId="1" xfId="15" applyNumberFormat="1" applyFont="1" applyBorder="1" applyAlignment="1">
      <alignment horizontal="center" vertical="center"/>
    </xf>
    <xf numFmtId="0" fontId="9" fillId="0" borderId="1" xfId="0" applyFont="1" applyFill="1" applyBorder="1" applyAlignment="1">
      <alignment horizontal="justify" vertical="top" wrapText="1"/>
    </xf>
    <xf numFmtId="10" fontId="0" fillId="0" borderId="2" xfId="0" applyNumberFormat="1" applyBorder="1" applyAlignment="1">
      <alignment horizontal="center" vertical="center"/>
    </xf>
    <xf numFmtId="10" fontId="0" fillId="0" borderId="2" xfId="15" applyNumberFormat="1" applyFont="1" applyBorder="1" applyAlignment="1">
      <alignment horizontal="center" vertical="center"/>
    </xf>
    <xf numFmtId="10" fontId="29" fillId="12" borderId="2" xfId="0" applyNumberFormat="1" applyFont="1" applyFill="1" applyBorder="1" applyAlignment="1">
      <alignment horizontal="center" vertical="center"/>
    </xf>
    <xf numFmtId="0" fontId="0" fillId="0" borderId="0" xfId="0" applyBorder="1" applyAlignment="1">
      <alignment horizontal="justify" vertical="center"/>
    </xf>
    <xf numFmtId="10" fontId="9" fillId="0" borderId="0" xfId="15" applyNumberFormat="1" applyFont="1" applyFill="1" applyBorder="1" applyAlignment="1">
      <alignment horizontal="center" vertical="center"/>
    </xf>
    <xf numFmtId="9" fontId="9" fillId="0" borderId="0" xfId="15" applyNumberFormat="1" applyFont="1" applyFill="1" applyBorder="1" applyAlignment="1">
      <alignment horizontal="center" vertical="center"/>
    </xf>
    <xf numFmtId="0" fontId="28" fillId="12" borderId="43" xfId="0" applyFont="1" applyFill="1" applyBorder="1" applyAlignment="1">
      <alignment vertical="center"/>
    </xf>
    <xf numFmtId="0" fontId="0" fillId="0" borderId="0" xfId="0" applyBorder="1" applyAlignment="1">
      <alignment horizontal="justify" vertical="center"/>
    </xf>
    <xf numFmtId="10" fontId="9" fillId="0" borderId="2" xfId="15" applyNumberFormat="1" applyFont="1" applyFill="1" applyBorder="1" applyAlignment="1">
      <alignment horizontal="center" vertical="center"/>
    </xf>
    <xf numFmtId="10" fontId="9" fillId="0" borderId="2" xfId="15" applyNumberFormat="1" applyFont="1" applyFill="1" applyBorder="1" applyAlignment="1">
      <alignment horizontal="center" vertical="center"/>
    </xf>
    <xf numFmtId="0" fontId="28" fillId="12" borderId="1" xfId="0" applyFont="1" applyFill="1" applyBorder="1" applyAlignment="1">
      <alignment horizontal="center" vertical="center" wrapText="1"/>
    </xf>
    <xf numFmtId="10" fontId="9" fillId="0" borderId="1" xfId="15" applyNumberFormat="1" applyFont="1" applyFill="1" applyBorder="1" applyAlignment="1">
      <alignment horizontal="center" vertical="center"/>
    </xf>
    <xf numFmtId="0" fontId="28" fillId="12" borderId="1" xfId="0" applyFont="1" applyFill="1" applyBorder="1" applyAlignment="1">
      <alignment horizontal="center"/>
    </xf>
    <xf numFmtId="10" fontId="40" fillId="0" borderId="1" xfId="15" applyNumberFormat="1" applyFont="1" applyFill="1" applyBorder="1" applyAlignment="1">
      <alignment horizontal="center" vertical="center"/>
    </xf>
    <xf numFmtId="0" fontId="28" fillId="0" borderId="0" xfId="0" applyFont="1" applyFill="1" applyBorder="1" applyAlignment="1">
      <alignment horizontal="center" vertical="center" wrapText="1"/>
    </xf>
    <xf numFmtId="0" fontId="0" fillId="0" borderId="0" xfId="0" applyFill="1" applyBorder="1"/>
    <xf numFmtId="3" fontId="10" fillId="0" borderId="1" xfId="0" applyNumberFormat="1" applyFont="1" applyFill="1" applyBorder="1" applyAlignment="1">
      <alignment horizontal="center" vertical="center" wrapText="1"/>
    </xf>
    <xf numFmtId="3" fontId="10" fillId="0" borderId="2" xfId="0" applyNumberFormat="1" applyFont="1" applyFill="1" applyBorder="1" applyAlignment="1">
      <alignment horizontal="center" vertical="center" wrapText="1"/>
    </xf>
    <xf numFmtId="10" fontId="9" fillId="0" borderId="1" xfId="15" applyNumberFormat="1" applyFont="1" applyFill="1" applyBorder="1" applyAlignment="1">
      <alignment horizontal="center" vertical="center"/>
    </xf>
    <xf numFmtId="9" fontId="0" fillId="0" borderId="1" xfId="0" applyNumberFormat="1" applyBorder="1" applyAlignment="1">
      <alignment horizontal="center" vertical="center"/>
    </xf>
    <xf numFmtId="0" fontId="0" fillId="10" borderId="1" xfId="0" applyFill="1" applyBorder="1" applyAlignment="1">
      <alignment horizontal="center" vertical="center"/>
    </xf>
    <xf numFmtId="9" fontId="0" fillId="0" borderId="0" xfId="15" applyNumberFormat="1" applyFont="1" applyBorder="1" applyAlignment="1">
      <alignment horizontal="center" vertical="center"/>
    </xf>
    <xf numFmtId="10" fontId="9" fillId="0" borderId="2" xfId="15" applyNumberFormat="1" applyFont="1" applyFill="1" applyBorder="1" applyAlignment="1">
      <alignment horizontal="center" vertical="center"/>
    </xf>
    <xf numFmtId="0" fontId="0" fillId="0" borderId="1" xfId="0" applyFill="1" applyBorder="1" applyAlignment="1">
      <alignment wrapText="1"/>
    </xf>
    <xf numFmtId="3" fontId="0" fillId="0" borderId="9" xfId="0" applyNumberFormat="1" applyBorder="1" applyAlignment="1">
      <alignment horizontal="center" vertical="center"/>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8" fillId="12" borderId="1" xfId="0" applyFont="1" applyFill="1" applyBorder="1" applyAlignment="1">
      <alignment horizontal="center" vertical="center"/>
    </xf>
    <xf numFmtId="0" fontId="9" fillId="0" borderId="1" xfId="0" applyFont="1" applyFill="1" applyBorder="1" applyAlignment="1">
      <alignment horizontal="justify" vertical="center" wrapText="1"/>
    </xf>
    <xf numFmtId="0" fontId="0" fillId="0" borderId="1" xfId="0" applyBorder="1" applyAlignment="1">
      <alignment horizontal="center" vertical="center"/>
    </xf>
    <xf numFmtId="0" fontId="6" fillId="5" borderId="1" xfId="2" applyNumberFormat="1" applyFont="1" applyFill="1" applyBorder="1" applyAlignment="1" applyProtection="1">
      <alignment horizontal="center" vertical="center" wrapText="1"/>
    </xf>
    <xf numFmtId="0" fontId="0" fillId="0" borderId="0" xfId="0" applyAlignment="1">
      <alignment horizontal="center" vertical="center" wrapText="1"/>
    </xf>
    <xf numFmtId="3" fontId="0" fillId="0" borderId="1" xfId="0" applyNumberFormat="1" applyBorder="1"/>
    <xf numFmtId="0" fontId="28" fillId="12" borderId="0" xfId="0" applyFont="1" applyFill="1" applyBorder="1" applyAlignment="1">
      <alignment horizontal="center"/>
    </xf>
    <xf numFmtId="0" fontId="28" fillId="12" borderId="0" xfId="0" applyFont="1" applyFill="1" applyBorder="1"/>
    <xf numFmtId="3" fontId="0" fillId="0" borderId="0" xfId="0" applyNumberFormat="1" applyBorder="1"/>
    <xf numFmtId="3" fontId="29" fillId="12" borderId="0" xfId="0" applyNumberFormat="1" applyFont="1" applyFill="1" applyBorder="1"/>
    <xf numFmtId="3" fontId="28" fillId="12" borderId="1" xfId="0" applyNumberFormat="1" applyFont="1" applyFill="1" applyBorder="1" applyAlignment="1">
      <alignment horizontal="center" vertical="center"/>
    </xf>
    <xf numFmtId="10" fontId="9" fillId="0" borderId="2" xfId="15" applyNumberFormat="1" applyFont="1" applyFill="1" applyBorder="1" applyAlignment="1">
      <alignment horizontal="center" vertical="center"/>
    </xf>
    <xf numFmtId="0" fontId="28" fillId="12" borderId="1" xfId="0" applyFont="1" applyFill="1" applyBorder="1" applyAlignment="1">
      <alignment horizontal="center" vertical="center"/>
    </xf>
    <xf numFmtId="0" fontId="28" fillId="12" borderId="1" xfId="0" applyFont="1" applyFill="1" applyBorder="1"/>
    <xf numFmtId="3" fontId="28" fillId="12" borderId="1" xfId="0" applyNumberFormat="1" applyFont="1" applyFill="1" applyBorder="1"/>
    <xf numFmtId="9" fontId="0" fillId="0" borderId="4" xfId="15" applyFont="1" applyBorder="1" applyAlignment="1">
      <alignment horizontal="center" vertical="center"/>
    </xf>
    <xf numFmtId="0" fontId="27" fillId="0" borderId="1" xfId="0" applyFont="1" applyBorder="1" applyAlignment="1">
      <alignment horizontal="center" vertical="center" wrapText="1"/>
    </xf>
    <xf numFmtId="0" fontId="15" fillId="0" borderId="1" xfId="0" applyFont="1" applyFill="1" applyBorder="1" applyAlignment="1">
      <alignment horizontal="justify" vertical="center" wrapText="1"/>
    </xf>
    <xf numFmtId="0" fontId="15"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0" fontId="9" fillId="0" borderId="1" xfId="0" applyFont="1" applyFill="1" applyBorder="1" applyAlignment="1">
      <alignment horizontal="center" vertical="center" wrapText="1"/>
    </xf>
    <xf numFmtId="3" fontId="10" fillId="0" borderId="2" xfId="0" applyNumberFormat="1" applyFont="1" applyFill="1" applyBorder="1" applyAlignment="1">
      <alignment horizontal="center" vertical="center" wrapText="1"/>
    </xf>
    <xf numFmtId="3" fontId="11" fillId="9" borderId="2" xfId="0" applyNumberFormat="1" applyFont="1" applyFill="1" applyBorder="1" applyAlignment="1">
      <alignment horizontal="right" vertical="center" wrapText="1"/>
    </xf>
    <xf numFmtId="0" fontId="28" fillId="12" borderId="1" xfId="0" applyFont="1" applyFill="1" applyBorder="1" applyAlignment="1">
      <alignment horizontal="center" vertical="center"/>
    </xf>
    <xf numFmtId="0" fontId="9" fillId="0" borderId="1" xfId="0" applyFont="1" applyFill="1" applyBorder="1" applyAlignment="1">
      <alignment horizontal="justify" vertical="center" wrapText="1"/>
    </xf>
    <xf numFmtId="0" fontId="8" fillId="0" borderId="1" xfId="0" applyFont="1" applyBorder="1" applyAlignment="1">
      <alignment horizontal="justify" vertical="center" wrapText="1"/>
    </xf>
    <xf numFmtId="0" fontId="8" fillId="9" borderId="1" xfId="0"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0" fontId="28" fillId="12" borderId="1" xfId="0" applyFont="1" applyFill="1" applyBorder="1" applyAlignment="1">
      <alignment horizontal="center" vertical="center"/>
    </xf>
    <xf numFmtId="3" fontId="16" fillId="0" borderId="1" xfId="0" applyNumberFormat="1" applyFont="1" applyFill="1" applyBorder="1" applyAlignment="1">
      <alignment horizontal="center" vertical="center"/>
    </xf>
    <xf numFmtId="0" fontId="0" fillId="6" borderId="0" xfId="0" applyFill="1"/>
    <xf numFmtId="3" fontId="0" fillId="6" borderId="0" xfId="0" applyNumberFormat="1" applyFill="1"/>
    <xf numFmtId="3" fontId="0" fillId="0" borderId="0" xfId="0" applyNumberFormat="1" applyFill="1"/>
    <xf numFmtId="0" fontId="8" fillId="9" borderId="0" xfId="0" applyFont="1" applyFill="1" applyBorder="1" applyAlignment="1">
      <alignment horizontal="center" vertical="center" wrapText="1"/>
    </xf>
    <xf numFmtId="0" fontId="9" fillId="0" borderId="0" xfId="0" applyFont="1"/>
    <xf numFmtId="0" fontId="9" fillId="0" borderId="1" xfId="0" applyFont="1" applyFill="1" applyBorder="1" applyAlignment="1">
      <alignment horizontal="center" vertical="center"/>
    </xf>
    <xf numFmtId="0" fontId="9" fillId="0" borderId="0" xfId="0" applyFont="1" applyFill="1" applyBorder="1" applyAlignment="1">
      <alignment vertical="center" wrapText="1"/>
    </xf>
    <xf numFmtId="0" fontId="8" fillId="9" borderId="1" xfId="0"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10" fontId="9" fillId="0" borderId="1" xfId="15" applyNumberFormat="1" applyFont="1" applyFill="1" applyBorder="1" applyAlignment="1">
      <alignment horizontal="center" vertical="center"/>
    </xf>
    <xf numFmtId="0" fontId="0" fillId="0" borderId="1" xfId="0" applyBorder="1" applyAlignment="1">
      <alignment horizontal="justify" wrapText="1"/>
    </xf>
    <xf numFmtId="0" fontId="28" fillId="12" borderId="9" xfId="0" applyFont="1" applyFill="1" applyBorder="1" applyAlignment="1">
      <alignment horizontal="center" vertical="center"/>
    </xf>
    <xf numFmtId="9" fontId="0" fillId="0" borderId="0" xfId="15" applyFont="1"/>
    <xf numFmtId="0" fontId="0" fillId="0" borderId="9" xfId="0" applyFill="1" applyBorder="1"/>
    <xf numFmtId="0" fontId="0" fillId="0" borderId="1" xfId="0" applyBorder="1" applyAlignment="1">
      <alignment horizontal="center" vertical="center"/>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28" fillId="12" borderId="1" xfId="0" applyFont="1" applyFill="1" applyBorder="1" applyAlignment="1">
      <alignment horizontal="center"/>
    </xf>
    <xf numFmtId="10" fontId="9" fillId="0" borderId="2" xfId="15" applyNumberFormat="1" applyFont="1" applyFill="1" applyBorder="1" applyAlignment="1">
      <alignment horizontal="center" vertical="center"/>
    </xf>
    <xf numFmtId="0" fontId="28" fillId="12" borderId="1" xfId="0" applyFont="1" applyFill="1" applyBorder="1" applyAlignment="1">
      <alignment horizontal="center" vertical="center" wrapText="1"/>
    </xf>
    <xf numFmtId="10" fontId="9" fillId="0" borderId="1" xfId="15" applyNumberFormat="1" applyFont="1" applyFill="1" applyBorder="1" applyAlignment="1">
      <alignment horizontal="center" vertical="center"/>
    </xf>
    <xf numFmtId="9" fontId="9" fillId="0" borderId="1" xfId="0" applyNumberFormat="1" applyFont="1" applyFill="1" applyBorder="1" applyAlignment="1">
      <alignment horizontal="center" vertical="center" wrapText="1"/>
    </xf>
    <xf numFmtId="0" fontId="28" fillId="12" borderId="1" xfId="0" applyFont="1" applyFill="1" applyBorder="1" applyAlignment="1">
      <alignment horizontal="center" vertical="center"/>
    </xf>
    <xf numFmtId="9" fontId="0" fillId="0" borderId="1" xfId="15" applyFont="1" applyBorder="1" applyAlignment="1">
      <alignment horizontal="center" vertical="center"/>
    </xf>
    <xf numFmtId="10" fontId="0" fillId="0" borderId="0" xfId="0" applyNumberFormat="1"/>
    <xf numFmtId="0" fontId="28" fillId="12" borderId="1" xfId="0" applyFont="1" applyFill="1" applyBorder="1" applyAlignment="1">
      <alignment vertical="center" wrapText="1"/>
    </xf>
    <xf numFmtId="10" fontId="9" fillId="0" borderId="2" xfId="15" applyNumberFormat="1" applyFont="1" applyFill="1" applyBorder="1" applyAlignment="1">
      <alignment vertical="center"/>
    </xf>
    <xf numFmtId="0" fontId="0" fillId="0" borderId="1" xfId="0" applyFont="1" applyBorder="1" applyAlignment="1">
      <alignment wrapText="1"/>
    </xf>
    <xf numFmtId="0" fontId="28" fillId="12" borderId="30" xfId="0" applyFont="1" applyFill="1" applyBorder="1" applyAlignment="1">
      <alignment horizontal="center" vertical="center"/>
    </xf>
    <xf numFmtId="0" fontId="28" fillId="12" borderId="11" xfId="0" applyFont="1" applyFill="1" applyBorder="1" applyAlignment="1">
      <alignment horizontal="center" vertical="center"/>
    </xf>
    <xf numFmtId="0" fontId="28" fillId="12" borderId="31" xfId="0" applyFont="1" applyFill="1" applyBorder="1" applyAlignment="1">
      <alignment horizontal="center" vertical="center"/>
    </xf>
    <xf numFmtId="0" fontId="0" fillId="0" borderId="32" xfId="0" applyBorder="1"/>
    <xf numFmtId="10" fontId="9" fillId="0" borderId="33" xfId="15" applyNumberFormat="1" applyFont="1" applyFill="1" applyBorder="1" applyAlignment="1">
      <alignment horizontal="center" vertical="center"/>
    </xf>
    <xf numFmtId="0" fontId="28" fillId="12" borderId="34" xfId="0" applyFont="1" applyFill="1" applyBorder="1"/>
    <xf numFmtId="3" fontId="28" fillId="12" borderId="35" xfId="0" applyNumberFormat="1" applyFont="1" applyFill="1" applyBorder="1"/>
    <xf numFmtId="0" fontId="0" fillId="0" borderId="35" xfId="0" applyFill="1" applyBorder="1"/>
    <xf numFmtId="10" fontId="28" fillId="12" borderId="46" xfId="15" applyNumberFormat="1" applyFont="1" applyFill="1" applyBorder="1" applyAlignment="1">
      <alignment horizontal="center" vertical="center"/>
    </xf>
    <xf numFmtId="10" fontId="28" fillId="12" borderId="22" xfId="15" applyNumberFormat="1" applyFont="1" applyFill="1" applyBorder="1" applyAlignment="1">
      <alignment horizontal="center" vertical="center"/>
    </xf>
    <xf numFmtId="0" fontId="0" fillId="0" borderId="1" xfId="0" applyBorder="1" applyAlignment="1">
      <alignment horizontal="justify"/>
    </xf>
    <xf numFmtId="0" fontId="28" fillId="12" borderId="34" xfId="0" applyFont="1" applyFill="1" applyBorder="1" applyAlignment="1">
      <alignment horizontal="center" vertical="center"/>
    </xf>
    <xf numFmtId="3" fontId="28" fillId="12" borderId="35" xfId="0" applyNumberFormat="1" applyFont="1" applyFill="1" applyBorder="1" applyAlignment="1">
      <alignment horizontal="center" vertical="center"/>
    </xf>
    <xf numFmtId="0" fontId="0" fillId="0" borderId="35" xfId="0" applyBorder="1"/>
    <xf numFmtId="10" fontId="9" fillId="0" borderId="35" xfId="15" applyNumberFormat="1" applyFont="1" applyFill="1" applyBorder="1" applyAlignment="1">
      <alignment horizontal="center" vertical="center"/>
    </xf>
    <xf numFmtId="10" fontId="9" fillId="0" borderId="36" xfId="15" applyNumberFormat="1" applyFont="1" applyFill="1" applyBorder="1" applyAlignment="1">
      <alignment horizontal="center" vertical="center"/>
    </xf>
    <xf numFmtId="0" fontId="8" fillId="9" borderId="32"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9" fontId="0" fillId="0" borderId="1" xfId="15" applyFont="1" applyBorder="1" applyAlignment="1">
      <alignment horizontal="center" vertical="center"/>
    </xf>
    <xf numFmtId="0" fontId="15" fillId="11" borderId="1" xfId="0" applyFont="1" applyFill="1" applyBorder="1" applyAlignment="1">
      <alignment horizontal="justify" vertical="center" wrapText="1"/>
    </xf>
    <xf numFmtId="0" fontId="27" fillId="11"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9" fontId="0" fillId="11" borderId="0" xfId="0" applyNumberFormat="1" applyFill="1" applyAlignment="1">
      <alignment horizontal="center"/>
    </xf>
    <xf numFmtId="3" fontId="0" fillId="10" borderId="1" xfId="0" applyNumberFormat="1" applyFill="1" applyBorder="1" applyAlignment="1">
      <alignment horizontal="center" vertical="center"/>
    </xf>
    <xf numFmtId="169" fontId="9" fillId="0" borderId="2" xfId="15" applyNumberFormat="1" applyFont="1" applyFill="1" applyBorder="1" applyAlignment="1">
      <alignment horizontal="center" vertical="center"/>
    </xf>
    <xf numFmtId="3" fontId="11" fillId="11" borderId="1" xfId="0" applyNumberFormat="1" applyFont="1" applyFill="1" applyBorder="1" applyAlignment="1">
      <alignment horizontal="right" vertical="center" wrapText="1"/>
    </xf>
    <xf numFmtId="3" fontId="0" fillId="11" borderId="1" xfId="0" applyNumberFormat="1" applyFill="1" applyBorder="1" applyAlignment="1">
      <alignment vertical="center"/>
    </xf>
    <xf numFmtId="0" fontId="0" fillId="11" borderId="1" xfId="0" applyFill="1" applyBorder="1" applyAlignment="1">
      <alignment horizontal="center" vertical="center"/>
    </xf>
    <xf numFmtId="10" fontId="0" fillId="11" borderId="1" xfId="15" applyNumberFormat="1" applyFont="1" applyFill="1" applyBorder="1" applyAlignment="1">
      <alignment horizontal="center" vertical="center"/>
    </xf>
    <xf numFmtId="9" fontId="0" fillId="11" borderId="1" xfId="15" applyFont="1" applyFill="1" applyBorder="1" applyAlignment="1">
      <alignment horizontal="center" vertical="center"/>
    </xf>
    <xf numFmtId="10" fontId="9" fillId="11" borderId="2" xfId="15" applyNumberFormat="1" applyFont="1" applyFill="1" applyBorder="1" applyAlignment="1">
      <alignment horizontal="center" vertical="center"/>
    </xf>
    <xf numFmtId="169" fontId="9" fillId="11" borderId="2" xfId="15" applyNumberFormat="1" applyFont="1" applyFill="1" applyBorder="1" applyAlignment="1">
      <alignment horizontal="center" vertical="center"/>
    </xf>
    <xf numFmtId="0" fontId="0" fillId="11" borderId="1" xfId="0" applyFill="1" applyBorder="1"/>
    <xf numFmtId="9" fontId="0" fillId="0" borderId="1" xfId="15" applyNumberFormat="1" applyFont="1" applyFill="1" applyBorder="1" applyAlignment="1">
      <alignment horizontal="center" vertical="center"/>
    </xf>
    <xf numFmtId="9" fontId="0" fillId="11" borderId="1" xfId="15" applyNumberFormat="1" applyFont="1" applyFill="1" applyBorder="1" applyAlignment="1">
      <alignment horizontal="center" vertical="center"/>
    </xf>
    <xf numFmtId="0" fontId="0" fillId="0" borderId="1" xfId="0" applyBorder="1" applyAlignment="1">
      <alignment horizontal="center" vertical="center"/>
    </xf>
    <xf numFmtId="0" fontId="18" fillId="10" borderId="1" xfId="0" applyFont="1" applyFill="1" applyBorder="1" applyAlignment="1">
      <alignment horizontal="center" vertical="center" wrapText="1"/>
    </xf>
    <xf numFmtId="0" fontId="9" fillId="0" borderId="2"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0" fillId="0" borderId="9" xfId="0" applyBorder="1" applyAlignment="1">
      <alignment horizontal="center" vertical="center" textRotation="255"/>
    </xf>
    <xf numFmtId="0" fontId="0" fillId="0" borderId="4" xfId="0" applyFont="1" applyBorder="1" applyAlignment="1">
      <alignment vertical="center" wrapText="1"/>
    </xf>
    <xf numFmtId="0" fontId="0" fillId="0" borderId="4" xfId="0" applyFont="1" applyBorder="1" applyAlignment="1">
      <alignment horizontal="center" vertical="center" wrapText="1"/>
    </xf>
    <xf numFmtId="0" fontId="0" fillId="0" borderId="13" xfId="0" applyBorder="1" applyAlignment="1">
      <alignment horizontal="center"/>
    </xf>
    <xf numFmtId="0" fontId="24" fillId="12" borderId="13" xfId="0" applyFont="1" applyFill="1" applyBorder="1" applyAlignment="1">
      <alignment horizontal="center"/>
    </xf>
    <xf numFmtId="0" fontId="25" fillId="0" borderId="13" xfId="0" applyFont="1" applyBorder="1" applyAlignment="1">
      <alignment horizontal="center" vertical="center"/>
    </xf>
    <xf numFmtId="0" fontId="6" fillId="5" borderId="1"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8" fillId="0" borderId="1" xfId="0" applyFont="1" applyBorder="1" applyAlignment="1">
      <alignment horizontal="justify" vertical="top" wrapText="1"/>
    </xf>
    <xf numFmtId="10" fontId="9" fillId="0" borderId="2"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0" fillId="9" borderId="4" xfId="0" applyNumberFormat="1" applyFill="1" applyBorder="1" applyAlignment="1">
      <alignment horizontal="right" vertical="center"/>
    </xf>
    <xf numFmtId="10" fontId="0" fillId="0" borderId="4" xfId="15" applyNumberFormat="1" applyFont="1" applyBorder="1" applyAlignment="1">
      <alignment horizontal="center" vertical="center"/>
    </xf>
    <xf numFmtId="9" fontId="0" fillId="0" borderId="1" xfId="15" applyFont="1" applyBorder="1" applyAlignment="1">
      <alignment horizontal="center" vertical="center"/>
    </xf>
    <xf numFmtId="10" fontId="9" fillId="0" borderId="39" xfId="15" applyNumberFormat="1" applyFont="1" applyFill="1" applyBorder="1" applyAlignment="1">
      <alignment horizontal="center" vertical="center"/>
    </xf>
    <xf numFmtId="10" fontId="9" fillId="0" borderId="40" xfId="15" applyNumberFormat="1" applyFont="1" applyFill="1" applyBorder="1" applyAlignment="1">
      <alignment horizontal="center" vertical="center"/>
    </xf>
    <xf numFmtId="9" fontId="9" fillId="0" borderId="2" xfId="15" applyFont="1" applyFill="1" applyBorder="1" applyAlignment="1">
      <alignment horizontal="center" vertical="center"/>
    </xf>
    <xf numFmtId="9" fontId="10" fillId="0" borderId="4" xfId="15" applyFont="1" applyFill="1" applyBorder="1" applyAlignment="1">
      <alignment horizontal="center" vertical="center" wrapText="1"/>
    </xf>
    <xf numFmtId="0" fontId="0" fillId="0" borderId="4" xfId="0" applyBorder="1" applyAlignment="1">
      <alignment horizontal="left" wrapText="1"/>
    </xf>
    <xf numFmtId="9" fontId="10" fillId="0" borderId="1" xfId="0" applyNumberFormat="1" applyFont="1" applyFill="1" applyBorder="1" applyAlignment="1">
      <alignment horizontal="center" vertical="center" wrapText="1"/>
    </xf>
    <xf numFmtId="169" fontId="0" fillId="0" borderId="4" xfId="15" applyNumberFormat="1" applyFont="1" applyBorder="1" applyAlignment="1">
      <alignment horizontal="center" vertical="center"/>
    </xf>
    <xf numFmtId="3" fontId="10" fillId="23" borderId="1" xfId="0" applyNumberFormat="1" applyFont="1" applyFill="1" applyBorder="1" applyAlignment="1">
      <alignment horizontal="center" vertical="center" wrapText="1"/>
    </xf>
    <xf numFmtId="3" fontId="11" fillId="23" borderId="1" xfId="0" applyNumberFormat="1" applyFont="1" applyFill="1" applyBorder="1" applyAlignment="1">
      <alignment horizontal="center" vertical="center" wrapText="1"/>
    </xf>
    <xf numFmtId="3" fontId="11" fillId="23" borderId="1" xfId="0" applyNumberFormat="1" applyFont="1" applyFill="1" applyBorder="1" applyAlignment="1">
      <alignment horizontal="right" vertical="center" wrapText="1"/>
    </xf>
    <xf numFmtId="3" fontId="0" fillId="23" borderId="4" xfId="0" applyNumberFormat="1" applyFill="1" applyBorder="1" applyAlignment="1">
      <alignment horizontal="center" vertical="center"/>
    </xf>
    <xf numFmtId="9" fontId="0" fillId="23" borderId="4" xfId="15" applyFont="1" applyFill="1" applyBorder="1" applyAlignment="1">
      <alignment horizontal="center" vertical="center"/>
    </xf>
    <xf numFmtId="0" fontId="0" fillId="0" borderId="1" xfId="0" applyBorder="1" applyAlignment="1">
      <alignment horizontal="left" vertical="center" wrapText="1"/>
    </xf>
    <xf numFmtId="3" fontId="0" fillId="11" borderId="4" xfId="0" applyNumberFormat="1" applyFill="1" applyBorder="1" applyAlignment="1">
      <alignment horizontal="center" vertical="center"/>
    </xf>
    <xf numFmtId="9" fontId="0" fillId="11" borderId="4" xfId="15" applyFont="1" applyFill="1" applyBorder="1" applyAlignment="1">
      <alignment horizontal="center" vertical="center"/>
    </xf>
    <xf numFmtId="0" fontId="0" fillId="11" borderId="1" xfId="0" applyFill="1" applyBorder="1" applyAlignment="1">
      <alignment vertical="center" wrapText="1"/>
    </xf>
    <xf numFmtId="3" fontId="15" fillId="9" borderId="1" xfId="0" applyNumberFormat="1" applyFont="1" applyFill="1" applyBorder="1" applyAlignment="1">
      <alignment horizontal="center" vertical="center" wrapText="1"/>
    </xf>
    <xf numFmtId="0" fontId="0" fillId="0" borderId="1" xfId="0" applyBorder="1" applyAlignment="1">
      <alignment vertical="center"/>
    </xf>
    <xf numFmtId="3" fontId="11" fillId="11" borderId="1" xfId="0" applyNumberFormat="1" applyFont="1" applyFill="1" applyBorder="1" applyAlignment="1">
      <alignment horizontal="center" vertical="center" wrapText="1"/>
    </xf>
    <xf numFmtId="0" fontId="6" fillId="5" borderId="6" xfId="2" applyNumberFormat="1" applyFont="1" applyFill="1" applyBorder="1" applyAlignment="1" applyProtection="1">
      <alignment vertical="center" wrapText="1"/>
    </xf>
    <xf numFmtId="0" fontId="6" fillId="5" borderId="8" xfId="2" applyNumberFormat="1" applyFont="1" applyFill="1" applyBorder="1" applyAlignment="1" applyProtection="1">
      <alignment vertical="center" wrapText="1"/>
    </xf>
    <xf numFmtId="3" fontId="43" fillId="23" borderId="4" xfId="0" applyNumberFormat="1" applyFont="1" applyFill="1" applyBorder="1" applyAlignment="1">
      <alignment horizontal="center" vertical="center" wrapText="1"/>
    </xf>
    <xf numFmtId="9" fontId="9" fillId="0" borderId="2" xfId="15" applyNumberFormat="1" applyFont="1" applyFill="1" applyBorder="1" applyAlignment="1">
      <alignment horizontal="center" vertical="center"/>
    </xf>
    <xf numFmtId="0" fontId="2" fillId="23" borderId="1" xfId="0" applyFont="1" applyFill="1" applyBorder="1" applyAlignment="1">
      <alignment horizontal="center" vertical="center"/>
    </xf>
    <xf numFmtId="0" fontId="8" fillId="0" borderId="2" xfId="0" applyFont="1" applyBorder="1" applyAlignment="1">
      <alignment vertical="top" wrapText="1"/>
    </xf>
    <xf numFmtId="0" fontId="16" fillId="9" borderId="1" xfId="0" applyFont="1" applyFill="1" applyBorder="1" applyAlignment="1">
      <alignment horizontal="center" vertical="center"/>
    </xf>
    <xf numFmtId="3" fontId="16" fillId="9" borderId="1" xfId="0" applyNumberFormat="1" applyFont="1" applyFill="1" applyBorder="1" applyAlignment="1">
      <alignment horizontal="center" vertical="center"/>
    </xf>
    <xf numFmtId="3" fontId="43" fillId="23" borderId="1" xfId="0" applyNumberFormat="1" applyFont="1" applyFill="1" applyBorder="1" applyAlignment="1">
      <alignment horizontal="center" vertical="center" wrapText="1"/>
    </xf>
    <xf numFmtId="0" fontId="8" fillId="0" borderId="1" xfId="0" applyFont="1" applyBorder="1" applyAlignment="1">
      <alignment horizontal="center" vertical="top" wrapText="1"/>
    </xf>
    <xf numFmtId="0" fontId="0" fillId="0" borderId="2" xfId="0" applyBorder="1" applyAlignment="1">
      <alignment vertical="top" wrapText="1"/>
    </xf>
    <xf numFmtId="3" fontId="11" fillId="9" borderId="1" xfId="0" applyNumberFormat="1" applyFont="1" applyFill="1" applyBorder="1" applyAlignment="1">
      <alignment vertical="center" wrapText="1"/>
    </xf>
    <xf numFmtId="3" fontId="0" fillId="9" borderId="1" xfId="0" applyNumberFormat="1" applyFill="1" applyBorder="1" applyAlignment="1">
      <alignment vertical="center"/>
    </xf>
    <xf numFmtId="37" fontId="2" fillId="23" borderId="1" xfId="0" applyNumberFormat="1" applyFont="1" applyFill="1" applyBorder="1" applyAlignment="1">
      <alignment horizontal="center" vertical="center"/>
    </xf>
    <xf numFmtId="0" fontId="0" fillId="10" borderId="0" xfId="0" applyFill="1" applyBorder="1"/>
    <xf numFmtId="170" fontId="44" fillId="25" borderId="11" xfId="16" applyNumberFormat="1" applyFont="1" applyFill="1" applyBorder="1" applyAlignment="1">
      <alignment horizontal="center" vertical="center" wrapText="1"/>
    </xf>
    <xf numFmtId="10" fontId="44" fillId="22" borderId="11" xfId="15" applyNumberFormat="1" applyFont="1" applyFill="1" applyBorder="1" applyAlignment="1">
      <alignment horizontal="center" vertical="center" wrapText="1"/>
    </xf>
    <xf numFmtId="9" fontId="44" fillId="22" borderId="11" xfId="15" applyFont="1" applyFill="1" applyBorder="1" applyAlignment="1">
      <alignment horizontal="center" vertical="center" wrapText="1"/>
    </xf>
    <xf numFmtId="10" fontId="44" fillId="22" borderId="31" xfId="15" applyNumberFormat="1" applyFont="1" applyFill="1" applyBorder="1" applyAlignment="1">
      <alignment horizontal="center" vertical="center" wrapText="1"/>
    </xf>
    <xf numFmtId="0" fontId="0" fillId="0" borderId="4" xfId="0" applyBorder="1" applyAlignment="1">
      <alignment vertical="center" wrapText="1"/>
    </xf>
    <xf numFmtId="0" fontId="0" fillId="0" borderId="4" xfId="0" applyBorder="1" applyAlignment="1">
      <alignment horizontal="center" vertical="center" wrapText="1"/>
    </xf>
    <xf numFmtId="0" fontId="46" fillId="0" borderId="4" xfId="0" applyFont="1" applyBorder="1" applyAlignment="1">
      <alignment horizontal="center" vertical="center" wrapText="1"/>
    </xf>
    <xf numFmtId="170" fontId="47" fillId="0" borderId="4" xfId="16" applyNumberFormat="1" applyFont="1" applyFill="1" applyBorder="1" applyAlignment="1">
      <alignment horizontal="right" vertical="center"/>
    </xf>
    <xf numFmtId="170" fontId="48" fillId="0" borderId="4" xfId="16" applyNumberFormat="1" applyFont="1" applyBorder="1" applyAlignment="1">
      <alignment horizontal="center" vertical="center" wrapText="1"/>
    </xf>
    <xf numFmtId="0" fontId="0" fillId="0" borderId="1" xfId="0" applyFont="1" applyFill="1" applyBorder="1" applyAlignment="1">
      <alignment vertical="center" wrapText="1"/>
    </xf>
    <xf numFmtId="0" fontId="0" fillId="0" borderId="1" xfId="0" applyBorder="1" applyAlignment="1">
      <alignment horizontal="center" vertical="center" wrapText="1"/>
    </xf>
    <xf numFmtId="0" fontId="46" fillId="0" borderId="1" xfId="0" applyFont="1" applyBorder="1" applyAlignment="1">
      <alignment horizontal="center" vertical="center" wrapText="1"/>
    </xf>
    <xf numFmtId="170" fontId="48" fillId="0" borderId="1" xfId="16" applyNumberFormat="1" applyFont="1" applyBorder="1" applyAlignment="1">
      <alignment horizontal="center" vertical="center" wrapText="1"/>
    </xf>
    <xf numFmtId="0" fontId="0" fillId="0" borderId="32" xfId="0" applyBorder="1" applyAlignment="1">
      <alignment horizontal="left" vertical="center" wrapText="1"/>
    </xf>
    <xf numFmtId="0" fontId="0" fillId="0" borderId="35" xfId="0" applyBorder="1" applyAlignment="1">
      <alignment vertical="center" wrapText="1"/>
    </xf>
    <xf numFmtId="0" fontId="0" fillId="0" borderId="35" xfId="0" applyBorder="1" applyAlignment="1">
      <alignment horizontal="center" vertical="center" wrapText="1"/>
    </xf>
    <xf numFmtId="0" fontId="46" fillId="0" borderId="35" xfId="0" applyFont="1" applyBorder="1" applyAlignment="1">
      <alignment horizontal="center" vertical="center" wrapText="1"/>
    </xf>
    <xf numFmtId="170" fontId="48" fillId="0" borderId="35" xfId="16" applyNumberFormat="1" applyFont="1" applyBorder="1" applyAlignment="1">
      <alignment horizontal="center" vertical="center" wrapText="1"/>
    </xf>
    <xf numFmtId="170" fontId="45" fillId="25" borderId="35" xfId="16" applyNumberFormat="1" applyFont="1" applyFill="1" applyBorder="1" applyAlignment="1">
      <alignment horizontal="center" vertical="center" wrapText="1"/>
    </xf>
    <xf numFmtId="0" fontId="49" fillId="0" borderId="0" xfId="0" applyFont="1" applyAlignment="1">
      <alignment horizontal="center" vertical="center" wrapText="1"/>
    </xf>
    <xf numFmtId="0" fontId="48" fillId="0" borderId="4" xfId="0" applyFont="1" applyBorder="1" applyAlignment="1">
      <alignment vertical="center" wrapText="1"/>
    </xf>
    <xf numFmtId="0" fontId="48" fillId="0" borderId="5" xfId="0" applyFont="1" applyBorder="1" applyAlignment="1">
      <alignment horizontal="center" vertical="center" wrapText="1"/>
    </xf>
    <xf numFmtId="0" fontId="46" fillId="0" borderId="5" xfId="0" applyFont="1" applyBorder="1" applyAlignment="1">
      <alignment horizontal="center" vertical="center" wrapText="1"/>
    </xf>
    <xf numFmtId="170" fontId="48" fillId="0" borderId="5" xfId="16" applyNumberFormat="1" applyFont="1" applyBorder="1" applyAlignment="1">
      <alignment horizontal="center" vertical="center" wrapText="1"/>
    </xf>
    <xf numFmtId="0" fontId="48" fillId="0" borderId="1" xfId="0" applyFont="1" applyBorder="1" applyAlignment="1">
      <alignment vertical="center" wrapText="1"/>
    </xf>
    <xf numFmtId="0" fontId="48" fillId="0" borderId="6" xfId="0" applyFont="1" applyBorder="1" applyAlignment="1">
      <alignment horizontal="center" vertical="center" wrapText="1"/>
    </xf>
    <xf numFmtId="0" fontId="46" fillId="0" borderId="6" xfId="0" applyFont="1" applyBorder="1" applyAlignment="1">
      <alignment horizontal="center" vertical="center" wrapText="1"/>
    </xf>
    <xf numFmtId="170" fontId="48" fillId="0" borderId="6" xfId="16" applyNumberFormat="1" applyFont="1" applyBorder="1" applyAlignment="1">
      <alignment horizontal="center" vertical="center" wrapText="1"/>
    </xf>
    <xf numFmtId="0" fontId="48" fillId="0" borderId="32" xfId="0" applyFont="1" applyBorder="1" applyAlignment="1">
      <alignment horizontal="left" vertical="center" wrapText="1"/>
    </xf>
    <xf numFmtId="0" fontId="0" fillId="0" borderId="1" xfId="0" applyFont="1" applyFill="1" applyBorder="1" applyAlignment="1">
      <alignment horizontal="left" vertical="center" wrapText="1"/>
    </xf>
    <xf numFmtId="0" fontId="48" fillId="0" borderId="38" xfId="0" applyFont="1" applyBorder="1" applyAlignment="1">
      <alignment horizontal="center" vertical="center" wrapText="1"/>
    </xf>
    <xf numFmtId="0" fontId="48" fillId="0" borderId="6" xfId="0" applyFont="1" applyFill="1" applyBorder="1" applyAlignment="1">
      <alignment horizontal="center" vertical="center" wrapText="1"/>
    </xf>
    <xf numFmtId="0" fontId="50" fillId="0" borderId="0" xfId="17" applyAlignment="1">
      <alignment vertical="center" wrapText="1"/>
    </xf>
    <xf numFmtId="0" fontId="0" fillId="0" borderId="0" xfId="0" applyFill="1" applyAlignment="1">
      <alignment vertical="center"/>
    </xf>
    <xf numFmtId="0" fontId="17" fillId="0" borderId="0" xfId="0" applyFont="1" applyAlignment="1">
      <alignment vertical="center" wrapText="1"/>
    </xf>
    <xf numFmtId="0" fontId="48" fillId="0" borderId="35" xfId="0" applyFont="1" applyBorder="1" applyAlignment="1">
      <alignment vertical="center" wrapText="1"/>
    </xf>
    <xf numFmtId="0" fontId="48" fillId="0" borderId="50" xfId="0" applyFont="1" applyBorder="1" applyAlignment="1">
      <alignment horizontal="center" vertical="center" wrapText="1"/>
    </xf>
    <xf numFmtId="0" fontId="46" fillId="0" borderId="50" xfId="0" applyFont="1" applyBorder="1" applyAlignment="1">
      <alignment horizontal="center" vertical="center" wrapText="1"/>
    </xf>
    <xf numFmtId="170" fontId="48" fillId="0" borderId="50" xfId="16" applyNumberFormat="1" applyFont="1" applyBorder="1" applyAlignment="1">
      <alignment horizontal="center" vertical="center" wrapText="1"/>
    </xf>
    <xf numFmtId="0" fontId="48" fillId="0" borderId="50" xfId="0" applyFont="1" applyFill="1" applyBorder="1" applyAlignment="1">
      <alignment horizontal="center" vertical="center" wrapText="1"/>
    </xf>
    <xf numFmtId="0" fontId="0" fillId="0" borderId="0" xfId="0" applyAlignment="1">
      <alignment horizontal="left" vertical="center" wrapText="1"/>
    </xf>
    <xf numFmtId="170" fontId="48" fillId="0" borderId="0" xfId="16" applyNumberFormat="1" applyFont="1" applyAlignment="1">
      <alignment horizontal="center" vertical="center" wrapText="1"/>
    </xf>
    <xf numFmtId="10" fontId="0" fillId="0" borderId="0" xfId="15" applyNumberFormat="1" applyFont="1" applyAlignment="1">
      <alignment horizontal="center" vertical="center" wrapText="1"/>
    </xf>
    <xf numFmtId="9" fontId="0" fillId="0" borderId="0" xfId="15" applyFont="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17" fillId="0" borderId="2" xfId="0" applyFont="1" applyBorder="1" applyAlignment="1">
      <alignment horizontal="center" vertical="center"/>
    </xf>
    <xf numFmtId="0" fontId="17" fillId="0" borderId="9" xfId="0" applyFont="1" applyBorder="1" applyAlignment="1">
      <alignment horizontal="center" vertical="center"/>
    </xf>
    <xf numFmtId="0" fontId="17" fillId="0" borderId="4" xfId="0" applyFont="1" applyBorder="1" applyAlignment="1">
      <alignment horizontal="center" vertical="center"/>
    </xf>
    <xf numFmtId="0" fontId="17" fillId="0" borderId="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19" fillId="10" borderId="1" xfId="0" applyFont="1" applyFill="1" applyBorder="1" applyAlignment="1">
      <alignment horizontal="center" vertical="center" wrapText="1"/>
    </xf>
    <xf numFmtId="0" fontId="18" fillId="10" borderId="1" xfId="0" applyFont="1" applyFill="1" applyBorder="1" applyAlignment="1">
      <alignment horizontal="center" vertical="center" wrapText="1"/>
    </xf>
    <xf numFmtId="0" fontId="9" fillId="0" borderId="1" xfId="0" applyFont="1" applyFill="1" applyBorder="1" applyAlignment="1">
      <alignment horizontal="left" vertical="top" wrapText="1"/>
    </xf>
    <xf numFmtId="0" fontId="0" fillId="9" borderId="1" xfId="0" applyFill="1" applyBorder="1" applyAlignment="1">
      <alignment horizontal="center" vertical="center" textRotation="255"/>
    </xf>
    <xf numFmtId="0" fontId="9" fillId="0" borderId="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3" fillId="10" borderId="1" xfId="0" applyFont="1" applyFill="1" applyBorder="1" applyAlignment="1">
      <alignment horizontal="center" vertical="center" wrapText="1"/>
    </xf>
    <xf numFmtId="3" fontId="11" fillId="9" borderId="2" xfId="0" applyNumberFormat="1" applyFont="1" applyFill="1" applyBorder="1" applyAlignment="1">
      <alignment horizontal="center" vertical="center" wrapText="1"/>
    </xf>
    <xf numFmtId="3" fontId="11" fillId="9" borderId="9" xfId="0" applyNumberFormat="1" applyFont="1" applyFill="1" applyBorder="1" applyAlignment="1">
      <alignment horizontal="center" vertical="center" wrapText="1"/>
    </xf>
    <xf numFmtId="3" fontId="11" fillId="9" borderId="4" xfId="0" applyNumberFormat="1" applyFont="1" applyFill="1" applyBorder="1" applyAlignment="1">
      <alignment horizontal="center" vertical="center" wrapText="1"/>
    </xf>
    <xf numFmtId="0" fontId="0" fillId="0" borderId="9" xfId="0" applyBorder="1" applyAlignment="1">
      <alignment horizontal="center" vertical="center" textRotation="255"/>
    </xf>
    <xf numFmtId="0" fontId="0" fillId="0" borderId="2" xfId="0" applyFont="1" applyBorder="1" applyAlignment="1">
      <alignment horizontal="center" vertical="center" wrapText="1"/>
    </xf>
    <xf numFmtId="0" fontId="0" fillId="0" borderId="9" xfId="0" applyFont="1" applyBorder="1" applyAlignment="1">
      <alignment horizontal="center" vertical="center" wrapText="1"/>
    </xf>
    <xf numFmtId="0" fontId="0" fillId="0" borderId="4" xfId="0" applyFont="1" applyBorder="1" applyAlignment="1">
      <alignment horizontal="center" vertical="center" wrapText="1"/>
    </xf>
    <xf numFmtId="0" fontId="0" fillId="0" borderId="13" xfId="0" applyBorder="1" applyAlignment="1">
      <alignment horizontal="center"/>
    </xf>
    <xf numFmtId="0" fontId="24" fillId="12" borderId="13" xfId="0" applyFont="1" applyFill="1" applyBorder="1" applyAlignment="1">
      <alignment horizontal="center"/>
    </xf>
    <xf numFmtId="0" fontId="25" fillId="0" borderId="13" xfId="0" applyFont="1" applyBorder="1" applyAlignment="1">
      <alignment horizontal="center" vertical="center"/>
    </xf>
    <xf numFmtId="0" fontId="7" fillId="3" borderId="1" xfId="0" applyFont="1" applyFill="1" applyBorder="1" applyAlignment="1">
      <alignment horizontal="center" vertical="center" wrapText="1"/>
    </xf>
    <xf numFmtId="164" fontId="5" fillId="4" borderId="1" xfId="2" applyNumberFormat="1" applyFont="1" applyFill="1" applyBorder="1" applyAlignment="1" applyProtection="1">
      <alignment horizontal="center" vertical="center" wrapText="1"/>
    </xf>
    <xf numFmtId="0" fontId="6" fillId="8" borderId="1" xfId="2" applyNumberFormat="1" applyFont="1" applyFill="1" applyBorder="1" applyAlignment="1" applyProtection="1">
      <alignment horizontal="center" vertical="center" wrapText="1"/>
    </xf>
    <xf numFmtId="0" fontId="25" fillId="0" borderId="13" xfId="0" applyFont="1" applyBorder="1" applyAlignment="1">
      <alignment horizontal="center"/>
    </xf>
    <xf numFmtId="0" fontId="6" fillId="7" borderId="1" xfId="2" applyNumberFormat="1" applyFont="1" applyFill="1" applyBorder="1" applyAlignment="1" applyProtection="1">
      <alignment horizontal="center" vertical="center" wrapText="1"/>
    </xf>
    <xf numFmtId="0" fontId="23" fillId="0" borderId="2" xfId="0" applyFont="1" applyBorder="1" applyAlignment="1">
      <alignment horizontal="center" vertical="center" textRotation="255" wrapText="1"/>
    </xf>
    <xf numFmtId="0" fontId="23" fillId="0" borderId="9" xfId="0" applyFont="1" applyBorder="1" applyAlignment="1">
      <alignment horizontal="center" vertical="center" textRotation="255" wrapText="1"/>
    </xf>
    <xf numFmtId="0" fontId="23" fillId="0" borderId="4" xfId="0" applyFont="1" applyBorder="1" applyAlignment="1">
      <alignment horizontal="center" vertical="center" textRotation="255" wrapText="1"/>
    </xf>
    <xf numFmtId="0" fontId="0" fillId="0" borderId="2" xfId="0" applyFont="1" applyBorder="1" applyAlignment="1">
      <alignment horizontal="left" vertical="top" wrapText="1"/>
    </xf>
    <xf numFmtId="0" fontId="0" fillId="0" borderId="9" xfId="0" applyFont="1" applyBorder="1" applyAlignment="1">
      <alignment horizontal="left" vertical="top" wrapText="1"/>
    </xf>
    <xf numFmtId="0" fontId="0" fillId="0" borderId="4" xfId="0" applyFont="1" applyBorder="1" applyAlignment="1">
      <alignment horizontal="left" vertical="top" wrapText="1"/>
    </xf>
    <xf numFmtId="0" fontId="6" fillId="5" borderId="1"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0" fillId="0" borderId="2" xfId="0" applyFont="1" applyBorder="1" applyAlignment="1">
      <alignment horizontal="center" vertical="top" wrapText="1"/>
    </xf>
    <xf numFmtId="0" fontId="0" fillId="0" borderId="4" xfId="0" applyFont="1" applyBorder="1" applyAlignment="1">
      <alignment horizontal="center" vertical="top" wrapText="1"/>
    </xf>
    <xf numFmtId="0" fontId="26" fillId="12" borderId="6" xfId="0" applyFont="1" applyFill="1" applyBorder="1" applyAlignment="1">
      <alignment horizontal="center" vertical="center"/>
    </xf>
    <xf numFmtId="0" fontId="26" fillId="12" borderId="7" xfId="0" applyFont="1" applyFill="1" applyBorder="1" applyAlignment="1">
      <alignment horizontal="center" vertical="center"/>
    </xf>
    <xf numFmtId="0" fontId="26" fillId="12" borderId="8" xfId="0" applyFont="1" applyFill="1" applyBorder="1" applyAlignment="1">
      <alignment horizontal="center" vertical="center"/>
    </xf>
    <xf numFmtId="0" fontId="24" fillId="12" borderId="14" xfId="0" applyFont="1" applyFill="1" applyBorder="1" applyAlignment="1">
      <alignment horizontal="center" vertical="center"/>
    </xf>
    <xf numFmtId="0" fontId="24" fillId="12" borderId="15" xfId="0" applyFont="1" applyFill="1" applyBorder="1" applyAlignment="1">
      <alignment horizontal="center" vertical="center"/>
    </xf>
    <xf numFmtId="1" fontId="6" fillId="6" borderId="1" xfId="2" applyNumberFormat="1" applyFont="1" applyFill="1" applyBorder="1" applyAlignment="1" applyProtection="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3" fontId="5" fillId="5" borderId="1" xfId="2" applyNumberFormat="1" applyFont="1" applyFill="1" applyBorder="1" applyAlignment="1" applyProtection="1">
      <alignment horizontal="center" vertical="center" wrapText="1"/>
    </xf>
    <xf numFmtId="0" fontId="6" fillId="6" borderId="1" xfId="2" applyNumberFormat="1" applyFont="1" applyFill="1" applyBorder="1" applyAlignment="1" applyProtection="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48" fillId="0" borderId="48" xfId="0" applyFont="1" applyBorder="1" applyAlignment="1">
      <alignment horizontal="center" vertical="center" wrapText="1"/>
    </xf>
    <xf numFmtId="0" fontId="48" fillId="0" borderId="47" xfId="0" applyFont="1" applyBorder="1" applyAlignment="1">
      <alignment horizontal="center" vertical="center" wrapText="1"/>
    </xf>
    <xf numFmtId="0" fontId="48" fillId="0" borderId="38" xfId="0" applyFont="1" applyBorder="1" applyAlignment="1">
      <alignment horizontal="center" vertical="center" wrapText="1"/>
    </xf>
    <xf numFmtId="0" fontId="48" fillId="0" borderId="49" xfId="0" applyFont="1" applyBorder="1" applyAlignment="1">
      <alignment horizontal="center" vertical="center" wrapText="1"/>
    </xf>
    <xf numFmtId="0" fontId="44" fillId="24" borderId="11" xfId="0" applyFont="1" applyFill="1" applyBorder="1" applyAlignment="1">
      <alignment horizontal="center" vertical="center" wrapText="1"/>
    </xf>
    <xf numFmtId="0" fontId="44" fillId="24" borderId="35" xfId="0" applyFont="1" applyFill="1" applyBorder="1" applyAlignment="1">
      <alignment horizontal="center" vertical="center" wrapText="1"/>
    </xf>
    <xf numFmtId="0" fontId="44" fillId="3" borderId="30" xfId="0" applyFont="1" applyFill="1" applyBorder="1" applyAlignment="1">
      <alignment horizontal="center" vertical="center" wrapText="1"/>
    </xf>
    <xf numFmtId="0" fontId="44" fillId="3" borderId="34" xfId="0" applyFont="1" applyFill="1" applyBorder="1" applyAlignment="1">
      <alignment horizontal="center" vertical="center" wrapText="1"/>
    </xf>
    <xf numFmtId="0" fontId="44" fillId="3" borderId="11" xfId="0" applyFont="1" applyFill="1" applyBorder="1" applyAlignment="1">
      <alignment horizontal="center" vertical="center" wrapText="1"/>
    </xf>
    <xf numFmtId="0" fontId="44" fillId="3" borderId="35" xfId="0" applyFont="1" applyFill="1" applyBorder="1" applyAlignment="1">
      <alignment horizontal="center" vertical="center" wrapText="1"/>
    </xf>
    <xf numFmtId="0" fontId="44" fillId="24" borderId="16" xfId="0" applyFont="1" applyFill="1" applyBorder="1" applyAlignment="1">
      <alignment horizontal="center" vertical="center" wrapText="1"/>
    </xf>
    <xf numFmtId="0" fontId="44" fillId="24" borderId="41" xfId="0" applyFont="1" applyFill="1" applyBorder="1" applyAlignment="1">
      <alignment horizontal="center" vertical="center" wrapText="1"/>
    </xf>
    <xf numFmtId="170" fontId="45" fillId="25" borderId="35" xfId="16" applyNumberFormat="1" applyFont="1" applyFill="1" applyBorder="1" applyAlignment="1">
      <alignment horizontal="center" vertical="center" wrapText="1"/>
    </xf>
    <xf numFmtId="0" fontId="45" fillId="22" borderId="35" xfId="0" applyFont="1" applyFill="1" applyBorder="1" applyAlignment="1">
      <alignment horizontal="center" vertical="center" wrapText="1"/>
    </xf>
    <xf numFmtId="0" fontId="45" fillId="22" borderId="36" xfId="0" applyFont="1" applyFill="1" applyBorder="1" applyAlignment="1">
      <alignment horizontal="center" vertical="center" wrapText="1"/>
    </xf>
    <xf numFmtId="0" fontId="0" fillId="0" borderId="32" xfId="0" applyBorder="1" applyAlignment="1">
      <alignment horizontal="left" vertical="center" wrapText="1"/>
    </xf>
    <xf numFmtId="0" fontId="0" fillId="0" borderId="34" xfId="0" applyBorder="1" applyAlignment="1">
      <alignment horizontal="left" vertical="center" wrapText="1"/>
    </xf>
    <xf numFmtId="0" fontId="0" fillId="0" borderId="47" xfId="0" applyBorder="1" applyAlignment="1">
      <alignment horizontal="left" vertical="center" wrapText="1"/>
    </xf>
    <xf numFmtId="170" fontId="44" fillId="25" borderId="16" xfId="16" applyNumberFormat="1" applyFont="1" applyFill="1" applyBorder="1" applyAlignment="1">
      <alignment horizontal="center" vertical="center" wrapText="1"/>
    </xf>
    <xf numFmtId="170" fontId="44" fillId="25" borderId="41" xfId="16"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10" fontId="9" fillId="0" borderId="4" xfId="15" applyNumberFormat="1" applyFont="1" applyFill="1" applyBorder="1" applyAlignment="1">
      <alignment horizontal="center" vertical="center"/>
    </xf>
    <xf numFmtId="0" fontId="6" fillId="7" borderId="2" xfId="2" applyNumberFormat="1" applyFont="1" applyFill="1" applyBorder="1" applyAlignment="1" applyProtection="1">
      <alignment horizontal="center" vertical="center" wrapText="1"/>
    </xf>
    <xf numFmtId="0" fontId="6" fillId="7" borderId="9" xfId="2" applyNumberFormat="1" applyFont="1" applyFill="1" applyBorder="1" applyAlignment="1" applyProtection="1">
      <alignment horizontal="center" vertical="center" wrapText="1"/>
    </xf>
    <xf numFmtId="0" fontId="6" fillId="7" borderId="4" xfId="2" applyNumberFormat="1" applyFont="1" applyFill="1" applyBorder="1" applyAlignment="1" applyProtection="1">
      <alignment horizontal="center" vertical="center" wrapText="1"/>
    </xf>
    <xf numFmtId="3" fontId="0" fillId="9" borderId="2" xfId="0" applyNumberFormat="1" applyFill="1" applyBorder="1" applyAlignment="1">
      <alignment horizontal="center" vertical="center"/>
    </xf>
    <xf numFmtId="3" fontId="0" fillId="9" borderId="9" xfId="0" applyNumberFormat="1" applyFill="1" applyBorder="1" applyAlignment="1">
      <alignment horizontal="center" vertical="center"/>
    </xf>
    <xf numFmtId="3" fontId="0" fillId="9" borderId="4" xfId="0" applyNumberFormat="1" applyFill="1" applyBorder="1" applyAlignment="1">
      <alignment horizontal="center" vertical="center"/>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horizontal="center" vertical="center" wrapText="1"/>
    </xf>
    <xf numFmtId="0" fontId="9" fillId="0" borderId="2"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0" fillId="0" borderId="2" xfId="0" applyBorder="1" applyAlignment="1">
      <alignment horizontal="center" vertical="top" wrapText="1"/>
    </xf>
    <xf numFmtId="0" fontId="0" fillId="0" borderId="4" xfId="0" applyBorder="1" applyAlignment="1">
      <alignment horizontal="center" vertical="top" wrapText="1"/>
    </xf>
    <xf numFmtId="3" fontId="0" fillId="9" borderId="2" xfId="0" applyNumberFormat="1" applyFill="1" applyBorder="1" applyAlignment="1">
      <alignment horizontal="right" vertical="center"/>
    </xf>
    <xf numFmtId="3" fontId="0" fillId="9" borderId="9" xfId="0" applyNumberFormat="1" applyFill="1" applyBorder="1" applyAlignment="1">
      <alignment horizontal="right" vertical="center"/>
    </xf>
    <xf numFmtId="3" fontId="0" fillId="9" borderId="4" xfId="0" applyNumberFormat="1" applyFill="1" applyBorder="1" applyAlignment="1">
      <alignment horizontal="right" vertical="center"/>
    </xf>
    <xf numFmtId="0" fontId="9" fillId="0" borderId="4" xfId="0" applyFont="1" applyFill="1" applyBorder="1" applyAlignment="1">
      <alignment horizontal="justify" vertical="center" wrapText="1"/>
    </xf>
    <xf numFmtId="0" fontId="15" fillId="0" borderId="2" xfId="0" applyFont="1" applyFill="1" applyBorder="1" applyAlignment="1">
      <alignment horizontal="justify" vertical="center" wrapText="1"/>
    </xf>
    <xf numFmtId="0" fontId="15" fillId="0" borderId="4" xfId="0" applyFont="1" applyFill="1" applyBorder="1" applyAlignment="1">
      <alignment horizontal="justify" vertical="center" wrapText="1"/>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11" fillId="9" borderId="9" xfId="0" applyNumberFormat="1" applyFont="1" applyFill="1" applyBorder="1" applyAlignment="1">
      <alignment horizontal="right" vertical="center" wrapText="1"/>
    </xf>
    <xf numFmtId="0" fontId="8" fillId="0" borderId="2" xfId="0" applyFont="1" applyBorder="1" applyAlignment="1">
      <alignment horizontal="justify" vertical="top" wrapText="1"/>
    </xf>
    <xf numFmtId="0" fontId="8" fillId="0" borderId="4" xfId="0" applyFont="1" applyBorder="1" applyAlignment="1">
      <alignment horizontal="justify" vertical="top" wrapText="1"/>
    </xf>
    <xf numFmtId="0" fontId="8" fillId="0" borderId="2" xfId="0" applyFont="1" applyBorder="1" applyAlignment="1">
      <alignment horizontal="justify" vertical="center" wrapText="1"/>
    </xf>
    <xf numFmtId="0" fontId="8" fillId="0" borderId="4" xfId="0" applyFont="1" applyBorder="1" applyAlignment="1">
      <alignment horizontal="justify" vertical="center" wrapText="1"/>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1" fontId="6" fillId="6" borderId="2" xfId="2" applyNumberFormat="1" applyFont="1" applyFill="1" applyBorder="1" applyAlignment="1" applyProtection="1">
      <alignment horizontal="center" vertical="center" wrapText="1"/>
    </xf>
    <xf numFmtId="1" fontId="6" fillId="6" borderId="4" xfId="2" applyNumberFormat="1" applyFont="1" applyFill="1" applyBorder="1" applyAlignment="1" applyProtection="1">
      <alignment horizontal="center" vertical="center" wrapText="1"/>
    </xf>
    <xf numFmtId="0" fontId="6" fillId="6" borderId="2" xfId="2" applyNumberFormat="1" applyFont="1" applyFill="1" applyBorder="1" applyAlignment="1" applyProtection="1">
      <alignment horizontal="center" vertical="center" wrapText="1"/>
    </xf>
    <xf numFmtId="0" fontId="6" fillId="6" borderId="4" xfId="2" applyNumberFormat="1" applyFont="1" applyFill="1" applyBorder="1" applyAlignment="1" applyProtection="1">
      <alignment horizontal="center" vertical="center" wrapText="1"/>
    </xf>
    <xf numFmtId="0" fontId="6" fillId="5" borderId="6" xfId="2" applyNumberFormat="1" applyFont="1" applyFill="1" applyBorder="1" applyAlignment="1" applyProtection="1">
      <alignment horizontal="center" vertical="center" wrapText="1"/>
    </xf>
    <xf numFmtId="0" fontId="6" fillId="5" borderId="7" xfId="2" applyNumberFormat="1" applyFont="1" applyFill="1" applyBorder="1" applyAlignment="1" applyProtection="1">
      <alignment horizontal="center" vertical="center" wrapText="1"/>
    </xf>
    <xf numFmtId="0" fontId="6" fillId="5" borderId="8" xfId="2" applyNumberFormat="1" applyFont="1" applyFill="1" applyBorder="1" applyAlignment="1" applyProtection="1">
      <alignment horizontal="center" vertical="center" wrapText="1"/>
    </xf>
    <xf numFmtId="0" fontId="6" fillId="8" borderId="6" xfId="2" applyNumberFormat="1" applyFont="1" applyFill="1" applyBorder="1" applyAlignment="1" applyProtection="1">
      <alignment horizontal="center" vertical="center" wrapText="1"/>
    </xf>
    <xf numFmtId="0" fontId="6" fillId="8" borderId="7" xfId="2" applyNumberFormat="1" applyFont="1" applyFill="1" applyBorder="1" applyAlignment="1" applyProtection="1">
      <alignment horizontal="center" vertical="center" wrapText="1"/>
    </xf>
    <xf numFmtId="0" fontId="6" fillId="8" borderId="8" xfId="2" applyNumberFormat="1" applyFont="1" applyFill="1" applyBorder="1" applyAlignment="1" applyProtection="1">
      <alignment horizontal="center" vertical="center" wrapText="1"/>
    </xf>
    <xf numFmtId="164" fontId="5" fillId="4" borderId="2" xfId="2" applyNumberFormat="1" applyFont="1" applyFill="1" applyBorder="1" applyAlignment="1" applyProtection="1">
      <alignment horizontal="center" vertical="center" wrapText="1"/>
    </xf>
    <xf numFmtId="164" fontId="5" fillId="4" borderId="4" xfId="2" applyNumberFormat="1" applyFont="1" applyFill="1" applyBorder="1" applyAlignment="1" applyProtection="1">
      <alignment horizontal="center" vertical="center" wrapText="1"/>
    </xf>
    <xf numFmtId="0" fontId="6" fillId="5" borderId="2" xfId="2" applyNumberFormat="1" applyFont="1" applyFill="1" applyBorder="1" applyAlignment="1" applyProtection="1">
      <alignment horizontal="center" vertical="center" wrapText="1"/>
    </xf>
    <xf numFmtId="0" fontId="6" fillId="5" borderId="9" xfId="2" applyNumberFormat="1" applyFont="1" applyFill="1" applyBorder="1" applyAlignment="1" applyProtection="1">
      <alignment horizontal="center" vertical="center" wrapText="1"/>
    </xf>
    <xf numFmtId="0" fontId="6" fillId="5" borderId="41" xfId="2" applyNumberFormat="1" applyFont="1" applyFill="1" applyBorder="1" applyAlignment="1" applyProtection="1">
      <alignment horizontal="center"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15" fillId="0" borderId="9" xfId="0" applyFont="1" applyFill="1" applyBorder="1" applyAlignment="1">
      <alignment horizontal="justify" vertical="center" wrapText="1"/>
    </xf>
    <xf numFmtId="0" fontId="15" fillId="0" borderId="2"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0" fillId="9" borderId="4" xfId="0" applyFill="1" applyBorder="1" applyAlignment="1">
      <alignment horizontal="center" vertical="center" textRotation="255"/>
    </xf>
    <xf numFmtId="0" fontId="0" fillId="9" borderId="2" xfId="0" applyFill="1" applyBorder="1" applyAlignment="1">
      <alignment horizontal="center" vertical="center" textRotation="255"/>
    </xf>
    <xf numFmtId="3" fontId="0" fillId="9" borderId="1" xfId="0" applyNumberFormat="1" applyFill="1" applyBorder="1" applyAlignment="1">
      <alignment horizontal="center" vertical="center"/>
    </xf>
    <xf numFmtId="0" fontId="9" fillId="0" borderId="2"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4" xfId="0" applyFont="1" applyFill="1" applyBorder="1" applyAlignment="1">
      <alignment horizontal="center" vertical="top" wrapText="1"/>
    </xf>
    <xf numFmtId="0" fontId="28" fillId="12" borderId="1" xfId="0" applyFont="1" applyFill="1" applyBorder="1" applyAlignment="1">
      <alignment horizontal="center"/>
    </xf>
    <xf numFmtId="0" fontId="28" fillId="12" borderId="2" xfId="0" applyFont="1" applyFill="1" applyBorder="1" applyAlignment="1">
      <alignment horizontal="center"/>
    </xf>
    <xf numFmtId="0" fontId="0" fillId="0" borderId="0" xfId="0" applyAlignment="1">
      <alignment horizontal="center"/>
    </xf>
    <xf numFmtId="0" fontId="28" fillId="12" borderId="1"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4" xfId="0" applyFont="1" applyFill="1" applyBorder="1" applyAlignment="1">
      <alignment horizontal="left" vertical="center" wrapText="1"/>
    </xf>
    <xf numFmtId="9" fontId="9" fillId="0" borderId="2" xfId="0" applyNumberFormat="1" applyFont="1" applyFill="1" applyBorder="1" applyAlignment="1">
      <alignment horizontal="center" vertical="center" wrapText="1"/>
    </xf>
    <xf numFmtId="9" fontId="9" fillId="0" borderId="9" xfId="0" applyNumberFormat="1" applyFont="1" applyFill="1" applyBorder="1" applyAlignment="1">
      <alignment horizontal="center" vertical="center" wrapText="1"/>
    </xf>
    <xf numFmtId="9" fontId="9" fillId="0" borderId="4" xfId="0" applyNumberFormat="1" applyFont="1" applyFill="1" applyBorder="1" applyAlignment="1">
      <alignment horizontal="center" vertical="center" wrapText="1"/>
    </xf>
    <xf numFmtId="10" fontId="0" fillId="0" borderId="2" xfId="15" applyNumberFormat="1" applyFont="1" applyBorder="1" applyAlignment="1">
      <alignment horizontal="center" vertical="center"/>
    </xf>
    <xf numFmtId="10" fontId="0" fillId="0" borderId="9" xfId="15" applyNumberFormat="1" applyFont="1" applyBorder="1" applyAlignment="1">
      <alignment horizontal="center" vertical="center"/>
    </xf>
    <xf numFmtId="10" fontId="0" fillId="0" borderId="4" xfId="15" applyNumberFormat="1" applyFont="1" applyBorder="1" applyAlignment="1">
      <alignment horizontal="center" vertical="center"/>
    </xf>
    <xf numFmtId="10" fontId="0" fillId="0" borderId="2" xfId="0" applyNumberFormat="1" applyBorder="1" applyAlignment="1">
      <alignment horizontal="center" vertical="center"/>
    </xf>
    <xf numFmtId="10" fontId="0" fillId="0" borderId="9" xfId="0" applyNumberFormat="1" applyBorder="1" applyAlignment="1">
      <alignment horizontal="center" vertical="center"/>
    </xf>
    <xf numFmtId="10" fontId="0" fillId="0" borderId="4" xfId="0" applyNumberFormat="1" applyBorder="1" applyAlignment="1">
      <alignment horizontal="center" vertical="center"/>
    </xf>
    <xf numFmtId="0" fontId="38" fillId="12" borderId="1" xfId="0" applyFont="1" applyFill="1" applyBorder="1" applyAlignment="1">
      <alignment horizontal="center"/>
    </xf>
    <xf numFmtId="0" fontId="9" fillId="0" borderId="2" xfId="0" applyFont="1" applyFill="1" applyBorder="1" applyAlignment="1">
      <alignment horizontal="justify" vertical="top" wrapText="1"/>
    </xf>
    <xf numFmtId="0" fontId="9" fillId="0" borderId="9" xfId="0" applyFont="1" applyFill="1" applyBorder="1" applyAlignment="1">
      <alignment horizontal="justify" vertical="top" wrapText="1"/>
    </xf>
    <xf numFmtId="0" fontId="9" fillId="0" borderId="4" xfId="0" applyFont="1" applyFill="1" applyBorder="1" applyAlignment="1">
      <alignment horizontal="justify" vertical="top" wrapText="1"/>
    </xf>
    <xf numFmtId="10" fontId="0" fillId="0" borderId="1" xfId="15" applyNumberFormat="1" applyFont="1" applyBorder="1" applyAlignment="1">
      <alignment horizontal="center" vertical="center"/>
    </xf>
    <xf numFmtId="10" fontId="0" fillId="0" borderId="1" xfId="0" applyNumberFormat="1" applyBorder="1" applyAlignment="1">
      <alignment horizontal="center" vertical="center"/>
    </xf>
    <xf numFmtId="9" fontId="9" fillId="0"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9" fontId="0" fillId="0" borderId="1" xfId="15" applyFont="1" applyBorder="1" applyAlignment="1">
      <alignment horizontal="center" vertical="center"/>
    </xf>
    <xf numFmtId="0" fontId="9" fillId="0" borderId="1" xfId="0" applyFont="1" applyFill="1" applyBorder="1" applyAlignment="1">
      <alignment horizontal="justify" vertical="top" wrapText="1"/>
    </xf>
    <xf numFmtId="10" fontId="9" fillId="0" borderId="1" xfId="15" applyNumberFormat="1" applyFont="1" applyFill="1" applyBorder="1" applyAlignment="1">
      <alignment horizontal="center" vertical="center"/>
    </xf>
    <xf numFmtId="0" fontId="38" fillId="12" borderId="6" xfId="0" applyFont="1" applyFill="1" applyBorder="1" applyAlignment="1">
      <alignment horizontal="center"/>
    </xf>
    <xf numFmtId="0" fontId="38" fillId="12" borderId="7" xfId="0" applyFont="1" applyFill="1" applyBorder="1" applyAlignment="1">
      <alignment horizontal="center"/>
    </xf>
    <xf numFmtId="0" fontId="38" fillId="12" borderId="8" xfId="0" applyFont="1" applyFill="1" applyBorder="1" applyAlignment="1">
      <alignment horizontal="center"/>
    </xf>
    <xf numFmtId="0" fontId="0" fillId="0" borderId="1" xfId="0" applyFont="1" applyBorder="1" applyAlignment="1">
      <alignment horizontal="justify" vertical="top" wrapText="1"/>
    </xf>
    <xf numFmtId="9" fontId="0" fillId="0" borderId="2" xfId="0" applyNumberFormat="1" applyFont="1" applyBorder="1" applyAlignment="1">
      <alignment horizontal="center" vertical="center" wrapText="1"/>
    </xf>
    <xf numFmtId="9" fontId="0" fillId="0" borderId="1" xfId="0" applyNumberFormat="1" applyBorder="1" applyAlignment="1">
      <alignment horizontal="center" vertical="center"/>
    </xf>
    <xf numFmtId="10" fontId="9" fillId="0" borderId="39" xfId="15" applyNumberFormat="1" applyFont="1" applyFill="1" applyBorder="1" applyAlignment="1">
      <alignment horizontal="center" vertical="center"/>
    </xf>
    <xf numFmtId="10" fontId="9" fillId="0" borderId="45" xfId="15" applyNumberFormat="1" applyFont="1" applyFill="1" applyBorder="1" applyAlignment="1">
      <alignment horizontal="center" vertical="center"/>
    </xf>
    <xf numFmtId="10" fontId="9" fillId="0" borderId="40" xfId="15" applyNumberFormat="1" applyFont="1" applyFill="1" applyBorder="1" applyAlignment="1">
      <alignment horizontal="center" vertical="center"/>
    </xf>
    <xf numFmtId="0" fontId="0" fillId="0" borderId="32" xfId="0" applyBorder="1" applyAlignment="1">
      <alignment horizontal="justify" vertical="center" wrapText="1"/>
    </xf>
    <xf numFmtId="0" fontId="0" fillId="0" borderId="1" xfId="0" applyBorder="1" applyAlignment="1">
      <alignment horizontal="justify" vertical="center" wrapText="1"/>
    </xf>
    <xf numFmtId="0" fontId="39" fillId="21" borderId="30" xfId="0" applyFont="1" applyFill="1" applyBorder="1" applyAlignment="1">
      <alignment horizontal="center" vertical="center"/>
    </xf>
    <xf numFmtId="0" fontId="39" fillId="21" borderId="11" xfId="0" applyFont="1" applyFill="1" applyBorder="1" applyAlignment="1">
      <alignment horizontal="center" vertical="center"/>
    </xf>
    <xf numFmtId="0" fontId="39" fillId="21" borderId="31" xfId="0" applyFont="1" applyFill="1" applyBorder="1" applyAlignment="1">
      <alignment horizontal="center" vertical="center"/>
    </xf>
    <xf numFmtId="0" fontId="39" fillId="21" borderId="32" xfId="0" applyFont="1" applyFill="1" applyBorder="1" applyAlignment="1">
      <alignment horizontal="center" vertical="center"/>
    </xf>
    <xf numFmtId="0" fontId="39" fillId="21" borderId="1" xfId="0" applyFont="1" applyFill="1" applyBorder="1" applyAlignment="1">
      <alignment horizontal="center" vertical="center"/>
    </xf>
    <xf numFmtId="0" fontId="39" fillId="21" borderId="33" xfId="0" applyFont="1" applyFill="1" applyBorder="1" applyAlignment="1">
      <alignment horizontal="center" vertical="center"/>
    </xf>
    <xf numFmtId="0" fontId="29" fillId="12" borderId="32" xfId="0" applyFont="1" applyFill="1" applyBorder="1" applyAlignment="1">
      <alignment horizontal="center" vertical="center"/>
    </xf>
    <xf numFmtId="0" fontId="29" fillId="12" borderId="1" xfId="0" applyFont="1" applyFill="1" applyBorder="1" applyAlignment="1">
      <alignment horizontal="center" vertical="center"/>
    </xf>
    <xf numFmtId="9" fontId="9" fillId="0" borderId="11" xfId="15" applyFont="1" applyFill="1" applyBorder="1" applyAlignment="1">
      <alignment horizontal="center" vertical="center"/>
    </xf>
    <xf numFmtId="9" fontId="9" fillId="0" borderId="1" xfId="15" applyFont="1" applyFill="1" applyBorder="1" applyAlignment="1">
      <alignment horizontal="center" vertical="center"/>
    </xf>
    <xf numFmtId="0" fontId="28" fillId="12" borderId="43" xfId="0" applyFont="1" applyFill="1" applyBorder="1" applyAlignment="1">
      <alignment horizontal="center" vertical="center"/>
    </xf>
    <xf numFmtId="0" fontId="28" fillId="12" borderId="7" xfId="0" applyFont="1" applyFill="1" applyBorder="1" applyAlignment="1">
      <alignment horizontal="center" vertical="center"/>
    </xf>
    <xf numFmtId="0" fontId="28" fillId="12" borderId="8" xfId="0" applyFont="1" applyFill="1" applyBorder="1" applyAlignment="1">
      <alignment horizontal="center" vertical="center"/>
    </xf>
    <xf numFmtId="0" fontId="29" fillId="12" borderId="34" xfId="0" applyFont="1" applyFill="1" applyBorder="1" applyAlignment="1">
      <alignment horizontal="center" vertical="center"/>
    </xf>
    <xf numFmtId="0" fontId="29" fillId="12" borderId="35" xfId="0" applyFont="1" applyFill="1" applyBorder="1" applyAlignment="1">
      <alignment horizontal="center" vertical="center"/>
    </xf>
    <xf numFmtId="0" fontId="28" fillId="12" borderId="6" xfId="0" applyFont="1" applyFill="1" applyBorder="1" applyAlignment="1">
      <alignment horizontal="center" vertical="center" wrapText="1"/>
    </xf>
    <xf numFmtId="0" fontId="28" fillId="12" borderId="7" xfId="0" applyFont="1" applyFill="1" applyBorder="1" applyAlignment="1">
      <alignment horizontal="center" vertical="center" wrapText="1"/>
    </xf>
    <xf numFmtId="0" fontId="28" fillId="12" borderId="8" xfId="0" applyFont="1" applyFill="1" applyBorder="1" applyAlignment="1">
      <alignment horizontal="center" vertical="center" wrapText="1"/>
    </xf>
    <xf numFmtId="0" fontId="0" fillId="0" borderId="2" xfId="0" applyFont="1" applyBorder="1" applyAlignment="1">
      <alignment horizontal="justify" vertical="top" wrapText="1"/>
    </xf>
    <xf numFmtId="0" fontId="0" fillId="0" borderId="9" xfId="0" applyFont="1" applyBorder="1" applyAlignment="1">
      <alignment horizontal="justify" vertical="top" wrapText="1"/>
    </xf>
    <xf numFmtId="0" fontId="0" fillId="0" borderId="4" xfId="0" applyFont="1" applyBorder="1" applyAlignment="1">
      <alignment horizontal="justify" vertical="top" wrapText="1"/>
    </xf>
    <xf numFmtId="0" fontId="28" fillId="12" borderId="1" xfId="0" applyFont="1" applyFill="1" applyBorder="1" applyAlignment="1">
      <alignment horizontal="center" vertical="center"/>
    </xf>
    <xf numFmtId="0" fontId="0" fillId="0" borderId="0" xfId="0" applyBorder="1" applyAlignment="1">
      <alignment horizontal="justify" vertical="center"/>
    </xf>
    <xf numFmtId="0" fontId="0" fillId="0" borderId="10" xfId="0" applyBorder="1" applyAlignment="1">
      <alignment horizontal="justify" wrapText="1"/>
    </xf>
    <xf numFmtId="0" fontId="0" fillId="0" borderId="12" xfId="0" applyBorder="1" applyAlignment="1">
      <alignment horizontal="justify" wrapText="1"/>
    </xf>
    <xf numFmtId="0" fontId="29" fillId="12" borderId="2" xfId="0" applyFont="1" applyFill="1" applyBorder="1" applyAlignment="1">
      <alignment horizontal="center" vertical="center"/>
    </xf>
    <xf numFmtId="9" fontId="9" fillId="0" borderId="39" xfId="15" applyFont="1" applyFill="1" applyBorder="1" applyAlignment="1">
      <alignment horizontal="center" vertical="center"/>
    </xf>
    <xf numFmtId="9" fontId="9" fillId="0" borderId="40" xfId="15" applyFont="1" applyFill="1" applyBorder="1" applyAlignment="1">
      <alignment horizontal="center" vertical="center"/>
    </xf>
    <xf numFmtId="9" fontId="9" fillId="0" borderId="42" xfId="15" applyFont="1" applyFill="1" applyBorder="1" applyAlignment="1">
      <alignment horizontal="center" vertical="center"/>
    </xf>
    <xf numFmtId="0" fontId="29" fillId="12" borderId="4" xfId="0" applyFont="1" applyFill="1" applyBorder="1" applyAlignment="1">
      <alignment horizontal="center" vertical="center"/>
    </xf>
    <xf numFmtId="0" fontId="0" fillId="0" borderId="32" xfId="0" applyBorder="1" applyAlignment="1">
      <alignment horizontal="justify" wrapText="1"/>
    </xf>
    <xf numFmtId="0" fontId="0" fillId="0" borderId="1" xfId="0" applyBorder="1" applyAlignment="1">
      <alignment horizontal="justify" wrapText="1"/>
    </xf>
    <xf numFmtId="0" fontId="0" fillId="0" borderId="34" xfId="0" applyBorder="1" applyAlignment="1">
      <alignment horizontal="justify" wrapText="1"/>
    </xf>
    <xf numFmtId="0" fontId="0" fillId="0" borderId="35" xfId="0" applyBorder="1" applyAlignment="1">
      <alignment horizontal="justify" wrapText="1"/>
    </xf>
    <xf numFmtId="9" fontId="9" fillId="0" borderId="2" xfId="15" applyFont="1" applyFill="1" applyBorder="1" applyAlignment="1">
      <alignment horizontal="center" vertical="center"/>
    </xf>
    <xf numFmtId="9" fontId="9" fillId="0" borderId="9" xfId="15" applyFont="1" applyFill="1" applyBorder="1" applyAlignment="1">
      <alignment horizontal="center" vertical="center"/>
    </xf>
    <xf numFmtId="9" fontId="9" fillId="0" borderId="41" xfId="15" applyFont="1" applyFill="1" applyBorder="1" applyAlignment="1">
      <alignment horizontal="center" vertical="center"/>
    </xf>
    <xf numFmtId="9" fontId="9" fillId="0" borderId="33" xfId="15" applyFont="1" applyFill="1" applyBorder="1" applyAlignment="1">
      <alignment horizontal="center" vertical="center"/>
    </xf>
    <xf numFmtId="9" fontId="9" fillId="0" borderId="31" xfId="15" applyFont="1" applyFill="1" applyBorder="1" applyAlignment="1">
      <alignment horizontal="center" vertical="center"/>
    </xf>
    <xf numFmtId="0" fontId="0" fillId="0" borderId="30" xfId="0" applyBorder="1" applyAlignment="1">
      <alignment horizontal="justify" vertical="center" wrapText="1"/>
    </xf>
    <xf numFmtId="0" fontId="0" fillId="0" borderId="11" xfId="0" applyBorder="1" applyAlignment="1">
      <alignment horizontal="justify" vertical="center" wrapText="1"/>
    </xf>
    <xf numFmtId="0" fontId="39" fillId="21" borderId="22" xfId="0" applyFont="1" applyFill="1" applyBorder="1" applyAlignment="1">
      <alignment horizontal="center" vertical="center"/>
    </xf>
    <xf numFmtId="0" fontId="39" fillId="21" borderId="19" xfId="0" applyFont="1" applyFill="1" applyBorder="1" applyAlignment="1">
      <alignment horizontal="center" vertical="center"/>
    </xf>
    <xf numFmtId="0" fontId="39" fillId="21" borderId="37" xfId="0" applyFont="1" applyFill="1" applyBorder="1" applyAlignment="1">
      <alignment horizontal="center" vertical="center"/>
    </xf>
    <xf numFmtId="0" fontId="29" fillId="12" borderId="38" xfId="0" applyFont="1" applyFill="1" applyBorder="1" applyAlignment="1">
      <alignment horizontal="center" vertical="center"/>
    </xf>
    <xf numFmtId="0" fontId="39" fillId="21" borderId="20" xfId="0" applyFont="1" applyFill="1" applyBorder="1" applyAlignment="1">
      <alignment horizontal="center" vertical="center"/>
    </xf>
    <xf numFmtId="0" fontId="39" fillId="21" borderId="17" xfId="0" applyFont="1" applyFill="1" applyBorder="1" applyAlignment="1">
      <alignment horizontal="center" vertical="center"/>
    </xf>
    <xf numFmtId="0" fontId="39" fillId="21" borderId="26" xfId="0" applyFont="1" applyFill="1" applyBorder="1" applyAlignment="1">
      <alignment horizontal="center" vertical="center"/>
    </xf>
    <xf numFmtId="0" fontId="30" fillId="19" borderId="26" xfId="0" applyFont="1" applyFill="1" applyBorder="1" applyAlignment="1">
      <alignment horizontal="center" vertical="center" wrapText="1"/>
    </xf>
    <xf numFmtId="0" fontId="30" fillId="19" borderId="23" xfId="0" applyFont="1" applyFill="1" applyBorder="1" applyAlignment="1">
      <alignment horizontal="center" vertical="center" wrapText="1"/>
    </xf>
    <xf numFmtId="0" fontId="30" fillId="19" borderId="20" xfId="0" applyFont="1" applyFill="1" applyBorder="1" applyAlignment="1">
      <alignment horizontal="center" vertical="center" wrapText="1"/>
    </xf>
    <xf numFmtId="0" fontId="34" fillId="0" borderId="18" xfId="0" applyFont="1" applyBorder="1" applyAlignment="1">
      <alignment horizontal="center" vertical="center" textRotation="255"/>
    </xf>
    <xf numFmtId="0" fontId="34" fillId="0" borderId="24" xfId="0" applyFont="1" applyBorder="1" applyAlignment="1">
      <alignment horizontal="center" vertical="center" textRotation="255"/>
    </xf>
    <xf numFmtId="0" fontId="34" fillId="0" borderId="19" xfId="0" applyFont="1" applyBorder="1" applyAlignment="1">
      <alignment horizontal="center" vertical="center" textRotation="255"/>
    </xf>
    <xf numFmtId="0" fontId="32" fillId="0" borderId="18" xfId="0" applyFont="1" applyBorder="1" applyAlignment="1">
      <alignment vertical="center" wrapText="1"/>
    </xf>
    <xf numFmtId="0" fontId="32" fillId="0" borderId="24" xfId="0" applyFont="1" applyBorder="1" applyAlignment="1">
      <alignment vertical="center" wrapText="1"/>
    </xf>
    <xf numFmtId="0" fontId="32" fillId="0" borderId="19" xfId="0" applyFont="1" applyBorder="1" applyAlignment="1">
      <alignment vertical="center" wrapText="1"/>
    </xf>
    <xf numFmtId="0" fontId="32" fillId="0" borderId="28" xfId="0" applyFont="1" applyBorder="1" applyAlignment="1">
      <alignment vertical="center" wrapText="1"/>
    </xf>
    <xf numFmtId="0" fontId="30" fillId="19" borderId="18" xfId="0" applyFont="1" applyFill="1" applyBorder="1" applyAlignment="1">
      <alignment horizontal="center" vertical="center" wrapText="1"/>
    </xf>
    <xf numFmtId="0" fontId="30" fillId="19" borderId="19" xfId="0" applyFont="1" applyFill="1" applyBorder="1" applyAlignment="1">
      <alignment horizontal="center" vertical="center" wrapText="1"/>
    </xf>
    <xf numFmtId="0" fontId="33" fillId="0" borderId="18" xfId="0" applyFont="1" applyBorder="1" applyAlignment="1">
      <alignment vertical="center" wrapText="1"/>
    </xf>
    <xf numFmtId="0" fontId="33" fillId="0" borderId="24" xfId="0" applyFont="1" applyBorder="1" applyAlignment="1">
      <alignment vertical="center" wrapText="1"/>
    </xf>
    <xf numFmtId="0" fontId="33" fillId="0" borderId="28" xfId="0" applyFont="1" applyBorder="1" applyAlignment="1">
      <alignment vertical="center" wrapText="1"/>
    </xf>
    <xf numFmtId="0" fontId="30" fillId="18" borderId="26" xfId="0" applyFont="1" applyFill="1" applyBorder="1" applyAlignment="1">
      <alignment horizontal="center" vertical="center" wrapText="1"/>
    </xf>
    <xf numFmtId="0" fontId="30" fillId="18" borderId="23" xfId="0" applyFont="1" applyFill="1" applyBorder="1" applyAlignment="1">
      <alignment horizontal="center" vertical="center" wrapText="1"/>
    </xf>
    <xf numFmtId="0" fontId="30" fillId="18" borderId="20" xfId="0" applyFont="1" applyFill="1" applyBorder="1" applyAlignment="1">
      <alignment horizontal="center" vertical="center" wrapText="1"/>
    </xf>
    <xf numFmtId="0" fontId="31" fillId="0" borderId="18" xfId="0" applyFont="1" applyBorder="1" applyAlignment="1">
      <alignment horizontal="center" vertical="center" textRotation="255" wrapText="1"/>
    </xf>
    <xf numFmtId="0" fontId="31" fillId="0" borderId="24" xfId="0" applyFont="1" applyBorder="1" applyAlignment="1">
      <alignment horizontal="center" vertical="center" textRotation="255" wrapText="1"/>
    </xf>
    <xf numFmtId="0" fontId="31" fillId="0" borderId="19" xfId="0" applyFont="1" applyBorder="1" applyAlignment="1">
      <alignment horizontal="center" vertical="center" textRotation="255" wrapText="1"/>
    </xf>
    <xf numFmtId="0" fontId="30" fillId="18" borderId="18" xfId="0" applyFont="1" applyFill="1" applyBorder="1" applyAlignment="1">
      <alignment horizontal="center" vertical="center" wrapText="1"/>
    </xf>
    <xf numFmtId="0" fontId="30" fillId="18" borderId="19" xfId="0" applyFont="1" applyFill="1" applyBorder="1" applyAlignment="1">
      <alignment horizontal="center" vertical="center" wrapText="1"/>
    </xf>
    <xf numFmtId="0" fontId="36" fillId="18" borderId="18" xfId="0" applyFont="1" applyFill="1" applyBorder="1" applyAlignment="1">
      <alignment horizontal="center" vertical="center" wrapText="1"/>
    </xf>
    <xf numFmtId="0" fontId="36" fillId="18" borderId="19" xfId="0" applyFont="1" applyFill="1" applyBorder="1" applyAlignment="1">
      <alignment horizontal="center" vertical="center" wrapText="1"/>
    </xf>
    <xf numFmtId="0" fontId="32" fillId="16" borderId="26" xfId="0" applyFont="1" applyFill="1" applyBorder="1" applyAlignment="1">
      <alignment horizontal="center" vertical="center" wrapText="1"/>
    </xf>
    <xf numFmtId="0" fontId="32" fillId="16" borderId="23" xfId="0" applyFont="1" applyFill="1" applyBorder="1" applyAlignment="1">
      <alignment horizontal="center" vertical="center" wrapText="1"/>
    </xf>
    <xf numFmtId="0" fontId="32" fillId="16" borderId="27" xfId="0" applyFont="1" applyFill="1" applyBorder="1" applyAlignment="1">
      <alignment horizontal="center" vertical="center" wrapText="1"/>
    </xf>
    <xf numFmtId="0" fontId="34" fillId="0" borderId="18" xfId="0" applyFont="1" applyBorder="1" applyAlignment="1">
      <alignment horizontal="center" vertical="center" textRotation="255" wrapText="1"/>
    </xf>
    <xf numFmtId="0" fontId="34" fillId="0" borderId="24" xfId="0" applyFont="1" applyBorder="1" applyAlignment="1">
      <alignment horizontal="center" vertical="center" textRotation="255" wrapText="1"/>
    </xf>
    <xf numFmtId="0" fontId="34" fillId="0" borderId="28" xfId="0" applyFont="1" applyBorder="1" applyAlignment="1">
      <alignment horizontal="center" vertical="center" textRotation="255" wrapText="1"/>
    </xf>
    <xf numFmtId="0" fontId="35" fillId="0" borderId="29" xfId="0" applyFont="1" applyBorder="1" applyAlignment="1">
      <alignment horizontal="center" vertical="center" textRotation="255"/>
    </xf>
    <xf numFmtId="0" fontId="35" fillId="0" borderId="24" xfId="0" applyFont="1" applyBorder="1" applyAlignment="1">
      <alignment horizontal="center" vertical="center" textRotation="255"/>
    </xf>
    <xf numFmtId="0" fontId="35" fillId="0" borderId="19" xfId="0" applyFont="1" applyBorder="1" applyAlignment="1">
      <alignment horizontal="center" vertical="center" textRotation="255"/>
    </xf>
    <xf numFmtId="0" fontId="32" fillId="0" borderId="29" xfId="0" applyFont="1" applyBorder="1" applyAlignment="1">
      <alignment vertical="center" wrapText="1"/>
    </xf>
    <xf numFmtId="0" fontId="32" fillId="17" borderId="26" xfId="0" applyFont="1" applyFill="1" applyBorder="1" applyAlignment="1">
      <alignment horizontal="center" vertical="center" wrapText="1"/>
    </xf>
    <xf numFmtId="0" fontId="32" fillId="17" borderId="23" xfId="0" applyFont="1" applyFill="1" applyBorder="1" applyAlignment="1">
      <alignment horizontal="center" vertical="center" wrapText="1"/>
    </xf>
    <xf numFmtId="0" fontId="32" fillId="17" borderId="20" xfId="0" applyFont="1" applyFill="1" applyBorder="1" applyAlignment="1">
      <alignment horizontal="center" vertical="center" wrapText="1"/>
    </xf>
    <xf numFmtId="0" fontId="32" fillId="17" borderId="18" xfId="0" applyFont="1" applyFill="1" applyBorder="1" applyAlignment="1">
      <alignment horizontal="center" vertical="center" wrapText="1"/>
    </xf>
    <xf numFmtId="0" fontId="32" fillId="17" borderId="28" xfId="0" applyFont="1" applyFill="1" applyBorder="1" applyAlignment="1">
      <alignment horizontal="center" vertical="center" wrapText="1"/>
    </xf>
    <xf numFmtId="0" fontId="32" fillId="16" borderId="18" xfId="0" applyFont="1" applyFill="1" applyBorder="1" applyAlignment="1">
      <alignment horizontal="center" vertical="center" wrapText="1"/>
    </xf>
    <xf numFmtId="0" fontId="32" fillId="16" borderId="19" xfId="0" applyFont="1" applyFill="1" applyBorder="1" applyAlignment="1">
      <alignment horizontal="center" vertical="center" wrapText="1"/>
    </xf>
    <xf numFmtId="0" fontId="32" fillId="17" borderId="19" xfId="0" applyFont="1" applyFill="1" applyBorder="1" applyAlignment="1">
      <alignment horizontal="center" vertical="center" wrapText="1"/>
    </xf>
    <xf numFmtId="0" fontId="30" fillId="15" borderId="18" xfId="0" applyFont="1" applyFill="1" applyBorder="1" applyAlignment="1">
      <alignment horizontal="center" vertical="center" wrapText="1"/>
    </xf>
    <xf numFmtId="0" fontId="30" fillId="15" borderId="19" xfId="0" applyFont="1" applyFill="1" applyBorder="1" applyAlignment="1">
      <alignment horizontal="center" vertical="center" wrapText="1"/>
    </xf>
    <xf numFmtId="0" fontId="31" fillId="0" borderId="18" xfId="0" applyFont="1" applyBorder="1" applyAlignment="1">
      <alignment horizontal="center" vertical="center" textRotation="255"/>
    </xf>
    <xf numFmtId="0" fontId="31" fillId="0" borderId="24" xfId="0" applyFont="1" applyBorder="1" applyAlignment="1">
      <alignment horizontal="center" vertical="center" textRotation="255"/>
    </xf>
    <xf numFmtId="0" fontId="31" fillId="0" borderId="19" xfId="0" applyFont="1" applyBorder="1" applyAlignment="1">
      <alignment horizontal="center" vertical="center" textRotation="255"/>
    </xf>
    <xf numFmtId="0" fontId="32" fillId="0" borderId="18" xfId="0" applyFont="1" applyBorder="1" applyAlignment="1">
      <alignment horizontal="justify" vertical="center" wrapText="1"/>
    </xf>
    <xf numFmtId="0" fontId="32" fillId="0" borderId="24" xfId="0" applyFont="1" applyBorder="1" applyAlignment="1">
      <alignment horizontal="justify" vertical="center" wrapText="1"/>
    </xf>
    <xf numFmtId="0" fontId="32" fillId="0" borderId="19" xfId="0" applyFont="1" applyBorder="1" applyAlignment="1">
      <alignment horizontal="justify" vertical="center" wrapText="1"/>
    </xf>
    <xf numFmtId="0" fontId="30" fillId="15" borderId="17"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23" xfId="0" applyFont="1" applyFill="1" applyBorder="1" applyAlignment="1">
      <alignment horizontal="center" vertical="center" wrapText="1"/>
    </xf>
    <xf numFmtId="0" fontId="30" fillId="15" borderId="20" xfId="0" applyFont="1" applyFill="1" applyBorder="1" applyAlignment="1">
      <alignment horizontal="center" vertical="center" wrapText="1"/>
    </xf>
  </cellXfs>
  <cellStyles count="18">
    <cellStyle name="40% - Énfasis5 2" xfId="3"/>
    <cellStyle name="Euro" xfId="4"/>
    <cellStyle name="Euro 2" xfId="5"/>
    <cellStyle name="Hipervínculo" xfId="17" builtinId="8"/>
    <cellStyle name="Millares" xfId="1" builtinId="3"/>
    <cellStyle name="Millares 2" xfId="6"/>
    <cellStyle name="Millares 2 2" xfId="7"/>
    <cellStyle name="Millares 3" xfId="8"/>
    <cellStyle name="Millares 3 2" xfId="9"/>
    <cellStyle name="Moneda" xfId="16" builtinId="4"/>
    <cellStyle name="Normal" xfId="0" builtinId="0"/>
    <cellStyle name="Normal 2" xfId="10"/>
    <cellStyle name="Normal 2 2" xfId="11"/>
    <cellStyle name="Normal 2 2 2" xfId="12"/>
    <cellStyle name="Normal 3" xfId="13"/>
    <cellStyle name="Normal 4" xfId="14"/>
    <cellStyle name="Porcentaje" xfId="15" builtinId="5"/>
    <cellStyle name="TableStyleLight1" xfId="2"/>
  </cellStyles>
  <dxfs count="593">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colors>
    <mruColors>
      <color rgb="FFAD14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PLAN DE DESARROLLO </a:t>
            </a:r>
          </a:p>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SEGUNDO TRIMESTRE 2017</a:t>
            </a:r>
          </a:p>
        </c:rich>
      </c:tx>
      <c:overlay val="0"/>
      <c:spPr>
        <a:noFill/>
        <a:ln>
          <a:noFill/>
        </a:ln>
        <a:effectLst/>
      </c:spPr>
    </c:title>
    <c:autoTitleDeleted val="0"/>
    <c:view3D>
      <c:rotX val="0"/>
      <c:rotY val="0"/>
      <c:rAngAx val="0"/>
      <c:perspective val="1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9322850601121671E-2"/>
          <c:y val="0.17171296296296296"/>
          <c:w val="0.90472983430262688"/>
          <c:h val="0.67544020718935116"/>
        </c:manualLayout>
      </c:layout>
      <c:bar3DChart>
        <c:barDir val="col"/>
        <c:grouping val="clustered"/>
        <c:varyColors val="0"/>
        <c:ser>
          <c:idx val="0"/>
          <c:order val="0"/>
          <c:tx>
            <c:strRef>
              <c:f>'Ejecución $'!$N$60</c:f>
              <c:strCache>
                <c:ptCount val="1"/>
                <c:pt idx="0">
                  <c:v>EFICACIA</c:v>
                </c:pt>
              </c:strCache>
            </c:strRef>
          </c:tx>
          <c:spPr>
            <a:solidFill>
              <a:schemeClr val="accent1"/>
            </a:solidFill>
            <a:ln>
              <a:noFill/>
            </a:ln>
            <a:effectLst/>
            <a:sp3d/>
          </c:spPr>
          <c:invertIfNegative val="0"/>
          <c:dPt>
            <c:idx val="0"/>
            <c:invertIfNegative val="0"/>
            <c:bubble3D val="0"/>
            <c:spPr>
              <a:solidFill>
                <a:schemeClr val="accent2"/>
              </a:solidFill>
              <a:ln>
                <a:noFill/>
              </a:ln>
              <a:effectLst/>
              <a:sp3d/>
            </c:spPr>
          </c:dPt>
          <c:dPt>
            <c:idx val="1"/>
            <c:invertIfNegative val="0"/>
            <c:bubble3D val="0"/>
            <c:spPr>
              <a:solidFill>
                <a:srgbClr val="FFC000"/>
              </a:solidFill>
              <a:ln>
                <a:noFill/>
              </a:ln>
              <a:effectLst/>
              <a:sp3d/>
            </c:spPr>
          </c:dPt>
          <c:dPt>
            <c:idx val="2"/>
            <c:invertIfNegative val="0"/>
            <c:bubble3D val="0"/>
            <c:spPr>
              <a:solidFill>
                <a:srgbClr val="00B050"/>
              </a:solidFill>
              <a:ln>
                <a:noFill/>
              </a:ln>
              <a:effectLst/>
              <a:sp3d/>
            </c:spPr>
          </c:dPt>
          <c:dPt>
            <c:idx val="3"/>
            <c:invertIfNegative val="0"/>
            <c:bubble3D val="0"/>
            <c:spPr>
              <a:solidFill>
                <a:srgbClr val="0070C0"/>
              </a:solidFill>
              <a:ln>
                <a:noFill/>
              </a:ln>
              <a:effectLst/>
              <a:sp3d/>
            </c:spPr>
          </c:dPt>
          <c:dPt>
            <c:idx val="4"/>
            <c:invertIfNegative val="0"/>
            <c:bubble3D val="0"/>
            <c:spPr>
              <a:solidFill>
                <a:schemeClr val="accent6">
                  <a:lumMod val="75000"/>
                </a:schemeClr>
              </a:solidFill>
              <a:ln>
                <a:noFill/>
              </a:ln>
              <a:effectLst/>
              <a:sp3d/>
            </c:spPr>
          </c:dPt>
          <c:dPt>
            <c:idx val="5"/>
            <c:invertIfNegative val="0"/>
            <c:bubble3D val="0"/>
            <c:spPr>
              <a:solidFill>
                <a:schemeClr val="bg2">
                  <a:lumMod val="50000"/>
                </a:schemeClr>
              </a:solidFill>
              <a:ln>
                <a:noFill/>
              </a:ln>
              <a:effectLst/>
              <a:sp3d/>
            </c:spPr>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$'!$H$61:$H$66</c:f>
              <c:strCache>
                <c:ptCount val="6"/>
                <c:pt idx="0">
                  <c:v>FORMACION</c:v>
                </c:pt>
                <c:pt idx="1">
                  <c:v>INVESTIGACION</c:v>
                </c:pt>
                <c:pt idx="2">
                  <c:v>PROYECCION SOCIAL</c:v>
                </c:pt>
                <c:pt idx="3">
                  <c:v>BIENESTAR UNIVERSITARIO</c:v>
                </c:pt>
                <c:pt idx="4">
                  <c:v>ADMINISTRATIVO</c:v>
                </c:pt>
                <c:pt idx="5">
                  <c:v>PROMEDIO</c:v>
                </c:pt>
              </c:strCache>
            </c:strRef>
          </c:cat>
          <c:val>
            <c:numRef>
              <c:f>'Ejecución $'!$N$61:$N$66</c:f>
              <c:numCache>
                <c:formatCode>0.00%</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219"/>
        <c:shape val="box"/>
        <c:axId val="108618880"/>
        <c:axId val="108620416"/>
        <c:axId val="0"/>
      </c:bar3DChart>
      <c:catAx>
        <c:axId val="10861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08620416"/>
        <c:crosses val="autoZero"/>
        <c:auto val="1"/>
        <c:lblAlgn val="ctr"/>
        <c:lblOffset val="100"/>
        <c:noMultiLvlLbl val="0"/>
      </c:catAx>
      <c:valAx>
        <c:axId val="1086204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086188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4943181190710213E-2"/>
          <c:y val="5.1400554097404488E-2"/>
          <c:w val="0.88569314529933407"/>
          <c:h val="0.49359069699620883"/>
        </c:manualLayout>
      </c:layout>
      <c:barChart>
        <c:barDir val="col"/>
        <c:grouping val="clustered"/>
        <c:varyColors val="0"/>
        <c:ser>
          <c:idx val="0"/>
          <c:order val="0"/>
          <c:tx>
            <c:strRef>
              <c:f>FORMACIÓN!$B$31</c:f>
              <c:strCache>
                <c:ptCount val="1"/>
                <c:pt idx="0">
                  <c:v>EFICACIA  </c:v>
                </c:pt>
              </c:strCache>
            </c:strRef>
          </c:tx>
          <c:invertIfNegative val="0"/>
          <c:dLbls>
            <c:dLbl>
              <c:idx val="0"/>
              <c:layout>
                <c:manualLayout>
                  <c:x val="-1.1095700416088766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2464170134073046E-3"/>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095700416088766E-2"/>
                  <c:y val="4.2437781360066642E-17"/>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7.3971336107258433E-3"/>
                  <c:y val="9.2592592592592587E-3"/>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2464170134073046E-3"/>
                  <c:y val="4.2437781360066642E-17"/>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1095700416088766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FORMACIÓN!$B$32:$B$38</c:f>
              <c:numCache>
                <c:formatCode>0.00%</c:formatCode>
                <c:ptCount val="7"/>
                <c:pt idx="0">
                  <c:v>0</c:v>
                </c:pt>
                <c:pt idx="1">
                  <c:v>0</c:v>
                </c:pt>
                <c:pt idx="2">
                  <c:v>0</c:v>
                </c:pt>
                <c:pt idx="3">
                  <c:v>0</c:v>
                </c:pt>
                <c:pt idx="4">
                  <c:v>0</c:v>
                </c:pt>
                <c:pt idx="5">
                  <c:v>0</c:v>
                </c:pt>
                <c:pt idx="6">
                  <c:v>0</c:v>
                </c:pt>
              </c:numCache>
            </c:numRef>
          </c:val>
        </c:ser>
        <c:ser>
          <c:idx val="1"/>
          <c:order val="1"/>
          <c:tx>
            <c:strRef>
              <c:f>FORMACIÓN!$C$31</c:f>
              <c:strCache>
                <c:ptCount val="1"/>
                <c:pt idx="0">
                  <c:v>EFICIENCIA $ </c:v>
                </c:pt>
              </c:strCache>
            </c:strRef>
          </c:tx>
          <c:invertIfNegative val="0"/>
          <c:dLbls>
            <c:dLbl>
              <c:idx val="2"/>
              <c:layout>
                <c:manualLayout>
                  <c:x val="0"/>
                  <c:y val="1.388888888888888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7806274794447677E-17"/>
                  <c:y val="9.2592592592592587E-3"/>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7.3971336107258433E-3"/>
                  <c:y val="1.3888888888888888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0"/>
                  <c:y val="1.3888888888888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FORMACIÓN!$C$32:$C$38</c:f>
              <c:numCache>
                <c:formatCode>0.00%</c:formatCode>
                <c:ptCount val="7"/>
                <c:pt idx="0">
                  <c:v>0</c:v>
                </c:pt>
                <c:pt idx="1">
                  <c:v>0</c:v>
                </c:pt>
                <c:pt idx="2">
                  <c:v>0</c:v>
                </c:pt>
                <c:pt idx="3">
                  <c:v>0</c:v>
                </c:pt>
                <c:pt idx="4">
                  <c:v>0</c:v>
                </c:pt>
                <c:pt idx="5">
                  <c:v>0</c:v>
                </c:pt>
                <c:pt idx="6">
                  <c:v>0</c:v>
                </c:pt>
              </c:numCache>
            </c:numRef>
          </c:val>
        </c:ser>
        <c:ser>
          <c:idx val="2"/>
          <c:order val="2"/>
          <c:tx>
            <c:strRef>
              <c:f>FORMACIÓN!$D$31</c:f>
              <c:strCache>
                <c:ptCount val="1"/>
                <c:pt idx="0">
                  <c:v>EFECTIVIDAD</c:v>
                </c:pt>
              </c:strCache>
            </c:strRef>
          </c:tx>
          <c:invertIfNegative val="0"/>
          <c:dLbls>
            <c:dLbl>
              <c:idx val="0"/>
              <c:layout>
                <c:manualLayout>
                  <c:x val="1.6643550624133148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2944983818770227E-2"/>
                  <c:y val="1.8518518518518517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6643550624133217E-2"/>
                  <c:y val="1.8518518518518517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2464170134073046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643550624133148E-2"/>
                  <c:y val="1.3888524351122776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4794267221451687E-2"/>
                  <c:y val="-2.314814814814814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FORMACIÓN!$D$32:$D$38</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axId val="111282048"/>
        <c:axId val="111283584"/>
      </c:barChart>
      <c:catAx>
        <c:axId val="111282048"/>
        <c:scaling>
          <c:orientation val="minMax"/>
        </c:scaling>
        <c:delete val="0"/>
        <c:axPos val="b"/>
        <c:numFmt formatCode="General" sourceLinked="0"/>
        <c:majorTickMark val="out"/>
        <c:minorTickMark val="none"/>
        <c:tickLblPos val="nextTo"/>
        <c:crossAx val="111283584"/>
        <c:crosses val="autoZero"/>
        <c:auto val="1"/>
        <c:lblAlgn val="ctr"/>
        <c:lblOffset val="100"/>
        <c:noMultiLvlLbl val="0"/>
      </c:catAx>
      <c:valAx>
        <c:axId val="111283584"/>
        <c:scaling>
          <c:orientation val="minMax"/>
        </c:scaling>
        <c:delete val="0"/>
        <c:axPos val="l"/>
        <c:majorGridlines/>
        <c:numFmt formatCode="0.00%" sourceLinked="1"/>
        <c:majorTickMark val="out"/>
        <c:minorTickMark val="none"/>
        <c:tickLblPos val="nextTo"/>
        <c:crossAx val="111282048"/>
        <c:crosses val="autoZero"/>
        <c:crossBetween val="between"/>
      </c:valAx>
    </c:plotArea>
    <c:legend>
      <c:legendPos val="r"/>
      <c:layout>
        <c:manualLayout>
          <c:xMode val="edge"/>
          <c:yMode val="edge"/>
          <c:x val="0.20270271265180215"/>
          <c:y val="0.81886847477398661"/>
          <c:w val="0.54484286939588367"/>
          <c:h val="9.8373797025371829E-2"/>
        </c:manualLayout>
      </c:layout>
      <c:overlay val="0"/>
    </c:legend>
    <c:plotVisOnly val="1"/>
    <c:dispBlanksAs val="gap"/>
    <c:showDLblsOverMax val="0"/>
  </c:chart>
  <c:txPr>
    <a:bodyPr/>
    <a:lstStyle/>
    <a:p>
      <a:pPr>
        <a:defRPr sz="800"/>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01122037748176"/>
          <c:y val="5.1400554097404488E-2"/>
          <c:w val="0.86629032441856491"/>
          <c:h val="0.48864136774569844"/>
        </c:manualLayout>
      </c:layout>
      <c:barChart>
        <c:barDir val="col"/>
        <c:grouping val="clustered"/>
        <c:varyColors val="0"/>
        <c:ser>
          <c:idx val="0"/>
          <c:order val="0"/>
          <c:tx>
            <c:strRef>
              <c:f>ADMINISTRATIVO!$B$31</c:f>
              <c:strCache>
                <c:ptCount val="1"/>
                <c:pt idx="0">
                  <c:v>EFICACIA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ADMINISTRATIVO!$A$32:$A$38</c:f>
              <c:strCache>
                <c:ptCount val="7"/>
                <c:pt idx="0">
                  <c:v>SA-PY2.a  Construcción y mantenimiento de las Sedes.</c:v>
                </c:pt>
                <c:pt idx="1">
                  <c:v>SA-PY2.b  Desarrollo, dotación y Mantenimiento de las Sedes.</c:v>
                </c:pt>
                <c:pt idx="2">
                  <c:v>Proyecto SA-PY2c. Desarrollo Proyectos Institucionales</c:v>
                </c:pt>
                <c:pt idx="3">
                  <c:v>SA-PY3.  Aseguramiento de los sistemas de Gestión de Calidad y Gestión Ambiental.</c:v>
                </c:pt>
                <c:pt idx="4">
                  <c:v>SA-PY5.  Reestructuración Organizacional académica y administrativa.</c:v>
                </c:pt>
                <c:pt idx="5">
                  <c:v>SA-PY7. Formación y Capacitación al Personal Administrativo y Operativo.</c:v>
                </c:pt>
                <c:pt idx="6">
                  <c:v>PROMEDIO</c:v>
                </c:pt>
              </c:strCache>
            </c:strRef>
          </c:cat>
          <c:val>
            <c:numRef>
              <c:f>ADMINISTRATIVO!$B$32:$B$38</c:f>
              <c:numCache>
                <c:formatCode>0.00%</c:formatCode>
                <c:ptCount val="7"/>
                <c:pt idx="0">
                  <c:v>0</c:v>
                </c:pt>
                <c:pt idx="1">
                  <c:v>0</c:v>
                </c:pt>
                <c:pt idx="2">
                  <c:v>0</c:v>
                </c:pt>
                <c:pt idx="3">
                  <c:v>0</c:v>
                </c:pt>
                <c:pt idx="4">
                  <c:v>0</c:v>
                </c:pt>
                <c:pt idx="5">
                  <c:v>0</c:v>
                </c:pt>
                <c:pt idx="6">
                  <c:v>0</c:v>
                </c:pt>
              </c:numCache>
            </c:numRef>
          </c:val>
        </c:ser>
        <c:ser>
          <c:idx val="1"/>
          <c:order val="1"/>
          <c:tx>
            <c:strRef>
              <c:f>ADMINISTRATIVO!$C$31</c:f>
              <c:strCache>
                <c:ptCount val="1"/>
                <c:pt idx="0">
                  <c:v>EFICIENCIA $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ADMINISTRATIVO!$A$32:$A$38</c:f>
              <c:strCache>
                <c:ptCount val="7"/>
                <c:pt idx="0">
                  <c:v>SA-PY2.a  Construcción y mantenimiento de las Sedes.</c:v>
                </c:pt>
                <c:pt idx="1">
                  <c:v>SA-PY2.b  Desarrollo, dotación y Mantenimiento de las Sedes.</c:v>
                </c:pt>
                <c:pt idx="2">
                  <c:v>Proyecto SA-PY2c. Desarrollo Proyectos Institucionales</c:v>
                </c:pt>
                <c:pt idx="3">
                  <c:v>SA-PY3.  Aseguramiento de los sistemas de Gestión de Calidad y Gestión Ambiental.</c:v>
                </c:pt>
                <c:pt idx="4">
                  <c:v>SA-PY5.  Reestructuración Organizacional académica y administrativa.</c:v>
                </c:pt>
                <c:pt idx="5">
                  <c:v>SA-PY7. Formación y Capacitación al Personal Administrativo y Operativo.</c:v>
                </c:pt>
                <c:pt idx="6">
                  <c:v>PROMEDIO</c:v>
                </c:pt>
              </c:strCache>
            </c:strRef>
          </c:cat>
          <c:val>
            <c:numRef>
              <c:f>ADMINISTRATIVO!$C$32:$C$38</c:f>
              <c:numCache>
                <c:formatCode>0.00%</c:formatCode>
                <c:ptCount val="7"/>
                <c:pt idx="0">
                  <c:v>0</c:v>
                </c:pt>
                <c:pt idx="1">
                  <c:v>0</c:v>
                </c:pt>
                <c:pt idx="2">
                  <c:v>0</c:v>
                </c:pt>
                <c:pt idx="3">
                  <c:v>0</c:v>
                </c:pt>
                <c:pt idx="4">
                  <c:v>0</c:v>
                </c:pt>
                <c:pt idx="5">
                  <c:v>0</c:v>
                </c:pt>
                <c:pt idx="6">
                  <c:v>0</c:v>
                </c:pt>
              </c:numCache>
            </c:numRef>
          </c:val>
        </c:ser>
        <c:ser>
          <c:idx val="2"/>
          <c:order val="2"/>
          <c:tx>
            <c:strRef>
              <c:f>ADMINISTRATIVO!$D$31</c:f>
              <c:strCache>
                <c:ptCount val="1"/>
                <c:pt idx="0">
                  <c:v>EFECTIVIDAD</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ADMINISTRATIVO!$A$32:$A$38</c:f>
              <c:strCache>
                <c:ptCount val="7"/>
                <c:pt idx="0">
                  <c:v>SA-PY2.a  Construcción y mantenimiento de las Sedes.</c:v>
                </c:pt>
                <c:pt idx="1">
                  <c:v>SA-PY2.b  Desarrollo, dotación y Mantenimiento de las Sedes.</c:v>
                </c:pt>
                <c:pt idx="2">
                  <c:v>Proyecto SA-PY2c. Desarrollo Proyectos Institucionales</c:v>
                </c:pt>
                <c:pt idx="3">
                  <c:v>SA-PY3.  Aseguramiento de los sistemas de Gestión de Calidad y Gestión Ambiental.</c:v>
                </c:pt>
                <c:pt idx="4">
                  <c:v>SA-PY5.  Reestructuración Organizacional académica y administrativa.</c:v>
                </c:pt>
                <c:pt idx="5">
                  <c:v>SA-PY7. Formación y Capacitación al Personal Administrativo y Operativo.</c:v>
                </c:pt>
                <c:pt idx="6">
                  <c:v>PROMEDIO</c:v>
                </c:pt>
              </c:strCache>
            </c:strRef>
          </c:cat>
          <c:val>
            <c:numRef>
              <c:f>ADMINISTRATIVO!$D$32:$D$38</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axId val="111458560"/>
        <c:axId val="111464448"/>
      </c:barChart>
      <c:catAx>
        <c:axId val="111458560"/>
        <c:scaling>
          <c:orientation val="minMax"/>
        </c:scaling>
        <c:delete val="0"/>
        <c:axPos val="b"/>
        <c:numFmt formatCode="General" sourceLinked="0"/>
        <c:majorTickMark val="out"/>
        <c:minorTickMark val="none"/>
        <c:tickLblPos val="nextTo"/>
        <c:txPr>
          <a:bodyPr/>
          <a:lstStyle/>
          <a:p>
            <a:pPr>
              <a:defRPr sz="800"/>
            </a:pPr>
            <a:endParaRPr lang="es-CO"/>
          </a:p>
        </c:txPr>
        <c:crossAx val="111464448"/>
        <c:crosses val="autoZero"/>
        <c:auto val="1"/>
        <c:lblAlgn val="ctr"/>
        <c:lblOffset val="100"/>
        <c:noMultiLvlLbl val="0"/>
      </c:catAx>
      <c:valAx>
        <c:axId val="111464448"/>
        <c:scaling>
          <c:orientation val="minMax"/>
        </c:scaling>
        <c:delete val="0"/>
        <c:axPos val="l"/>
        <c:majorGridlines/>
        <c:numFmt formatCode="0.00%" sourceLinked="1"/>
        <c:majorTickMark val="out"/>
        <c:minorTickMark val="none"/>
        <c:tickLblPos val="nextTo"/>
        <c:crossAx val="111458560"/>
        <c:crosses val="autoZero"/>
        <c:crossBetween val="between"/>
      </c:valAx>
    </c:plotArea>
    <c:legend>
      <c:legendPos val="r"/>
      <c:layout>
        <c:manualLayout>
          <c:xMode val="edge"/>
          <c:yMode val="edge"/>
          <c:x val="0.21590984194992993"/>
          <c:y val="0.89294254884806068"/>
          <c:w val="0.42326044266174401"/>
          <c:h val="9.8373797025371829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a:t>
            </a:r>
            <a:r>
              <a:rPr lang="es-CO" baseline="0">
                <a:solidFill>
                  <a:sysClr val="windowText" lastClr="000000"/>
                </a:solidFill>
              </a:rPr>
              <a:t> DEL PLAN DE DESARROLLO 2 TRIMESTRE 2017</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'Ejecución $'!$M$60</c:f>
              <c:strCache>
                <c:ptCount val="1"/>
                <c:pt idx="0">
                  <c:v>EFICIENCIA</c:v>
                </c:pt>
              </c:strCache>
            </c:strRef>
          </c:tx>
          <c:spPr>
            <a:solidFill>
              <a:schemeClr val="accent1"/>
            </a:solidFill>
            <a:ln>
              <a:noFill/>
            </a:ln>
            <a:effectLst/>
            <a:sp3d/>
          </c:spPr>
          <c:invertIfNegative val="0"/>
          <c:dLbls>
            <c:dLbl>
              <c:idx val="0"/>
              <c:layout>
                <c:manualLayout>
                  <c:x val="-9.4007050528789795E-3"/>
                  <c:y val="-6.656265160446459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4007050528789379E-3"/>
                  <c:y val="-3.7441491527511306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8.736348023085971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4007050528789656E-3"/>
                  <c:y val="-3.8134411949743502E-17"/>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0967489228358794E-2"/>
                  <c:y val="-2.080082862639517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2534273403838621E-2"/>
                  <c:y val="-3.744149152751127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$'!$M$61:$M$65</c:f>
              <c:numCache>
                <c:formatCode>0.00%</c:formatCode>
                <c:ptCount val="5"/>
                <c:pt idx="0">
                  <c:v>0</c:v>
                </c:pt>
                <c:pt idx="1">
                  <c:v>0</c:v>
                </c:pt>
                <c:pt idx="2">
                  <c:v>0</c:v>
                </c:pt>
                <c:pt idx="3">
                  <c:v>0</c:v>
                </c:pt>
                <c:pt idx="4">
                  <c:v>0</c:v>
                </c:pt>
              </c:numCache>
            </c:numRef>
          </c:val>
        </c:ser>
        <c:ser>
          <c:idx val="1"/>
          <c:order val="1"/>
          <c:tx>
            <c:strRef>
              <c:f>'Ejecución $'!$N$60</c:f>
              <c:strCache>
                <c:ptCount val="1"/>
                <c:pt idx="0">
                  <c:v>EFICACIA</c:v>
                </c:pt>
              </c:strCache>
            </c:strRef>
          </c:tx>
          <c:spPr>
            <a:solidFill>
              <a:schemeClr val="accent2"/>
            </a:solidFill>
            <a:ln>
              <a:noFill/>
            </a:ln>
            <a:effectLst/>
            <a:sp3d/>
          </c:spPr>
          <c:invertIfNegative val="0"/>
          <c:dLbls>
            <c:dLbl>
              <c:idx val="0"/>
              <c:layout>
                <c:manualLayout>
                  <c:x val="7.8339208773991389E-3"/>
                  <c:y val="-4.160165725279034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4101057579318392E-2"/>
                  <c:y val="-7.4882983055022695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4007050528789656E-3"/>
                  <c:y val="-7.488298305502261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101057579318449E-2"/>
                  <c:y val="-3.744149152751130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101057579318449E-2"/>
                  <c:y val="-4.1601657252790358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0967489228358794E-2"/>
                  <c:y val="-5.408215442862748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$'!$N$61:$N$65</c:f>
              <c:numCache>
                <c:formatCode>0.00%</c:formatCode>
                <c:ptCount val="5"/>
                <c:pt idx="0">
                  <c:v>0</c:v>
                </c:pt>
                <c:pt idx="1">
                  <c:v>0</c:v>
                </c:pt>
                <c:pt idx="2">
                  <c:v>0</c:v>
                </c:pt>
                <c:pt idx="3">
                  <c:v>0</c:v>
                </c:pt>
                <c:pt idx="4">
                  <c:v>0</c:v>
                </c:pt>
              </c:numCache>
            </c:numRef>
          </c:val>
        </c:ser>
        <c:ser>
          <c:idx val="2"/>
          <c:order val="2"/>
          <c:tx>
            <c:strRef>
              <c:f>'Ejecución $'!$O$60</c:f>
              <c:strCache>
                <c:ptCount val="1"/>
                <c:pt idx="0">
                  <c:v>EFECTIVIDAD</c:v>
                </c:pt>
              </c:strCache>
            </c:strRef>
          </c:tx>
          <c:spPr>
            <a:solidFill>
              <a:schemeClr val="accent3"/>
            </a:solidFill>
            <a:ln>
              <a:noFill/>
            </a:ln>
            <a:effectLst/>
            <a:sp3d/>
          </c:spPr>
          <c:invertIfNegative val="0"/>
          <c:dLbls>
            <c:dLbl>
              <c:idx val="0"/>
              <c:layout>
                <c:manualLayout>
                  <c:x val="2.3501762632197443E-2"/>
                  <c:y val="-4.992198870334840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1335683509596493E-2"/>
                  <c:y val="-3.32813258022322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6036036036036036E-2"/>
                  <c:y val="-8.736348023085971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3.2902467685076264E-2"/>
                  <c:y val="-6.240248587918551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7602820211515751E-2"/>
                  <c:y val="-2.496099435167424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0736388562475516E-2"/>
                  <c:y val="-2.496099435167420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$'!$O$61:$O$65</c:f>
              <c:numCache>
                <c:formatCode>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shape val="box"/>
        <c:axId val="108676608"/>
        <c:axId val="108678144"/>
        <c:axId val="0"/>
      </c:bar3DChart>
      <c:catAx>
        <c:axId val="10867660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08678144"/>
        <c:crosses val="autoZero"/>
        <c:auto val="1"/>
        <c:lblAlgn val="ctr"/>
        <c:lblOffset val="100"/>
        <c:noMultiLvlLbl val="0"/>
      </c:catAx>
      <c:valAx>
        <c:axId val="1086781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08676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FORMACIÓN</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$'!$M$2</c:f>
              <c:strCache>
                <c:ptCount val="1"/>
                <c:pt idx="0">
                  <c:v>EFICIENCIA</c:v>
                </c:pt>
              </c:strCache>
            </c:strRef>
          </c:tx>
          <c:spPr>
            <a:solidFill>
              <a:schemeClr val="accent1"/>
            </a:solidFill>
            <a:ln>
              <a:noFill/>
            </a:ln>
            <a:effectLst/>
            <a:sp3d/>
          </c:spPr>
          <c:invertIfNegative val="0"/>
          <c:dLbls>
            <c:dLbl>
              <c:idx val="0"/>
              <c:layout>
                <c:manualLayout>
                  <c:x val="-2.4449877750611262E-2"/>
                  <c:y val="-4.2697713028579116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3039934800326029E-2"/>
                  <c:y val="-3.105288220260294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3039934800325998E-2"/>
                  <c:y val="-2.3289661651952225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$'!$M$3:$M$9</c:f>
              <c:numCache>
                <c:formatCode>0.00%</c:formatCode>
                <c:ptCount val="7"/>
                <c:pt idx="0">
                  <c:v>0</c:v>
                </c:pt>
                <c:pt idx="1">
                  <c:v>0</c:v>
                </c:pt>
                <c:pt idx="2">
                  <c:v>0</c:v>
                </c:pt>
                <c:pt idx="3">
                  <c:v>0</c:v>
                </c:pt>
                <c:pt idx="4">
                  <c:v>0</c:v>
                </c:pt>
                <c:pt idx="5">
                  <c:v>0</c:v>
                </c:pt>
                <c:pt idx="6">
                  <c:v>0</c:v>
                </c:pt>
              </c:numCache>
            </c:numRef>
          </c:val>
        </c:ser>
        <c:ser>
          <c:idx val="1"/>
          <c:order val="1"/>
          <c:tx>
            <c:strRef>
              <c:f>'Ejecución $'!$N$2</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7799511002444398E-3"/>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7799511002444987E-3"/>
                  <c:y val="-3.2787075643720749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998E-2"/>
                  <c:y val="-4.6579323303904421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2.4449877750611367E-2"/>
                  <c:y val="-0.2328966165195220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$'!$N$3:$N$9</c:f>
              <c:numCache>
                <c:formatCode>0.00%</c:formatCode>
                <c:ptCount val="7"/>
                <c:pt idx="0">
                  <c:v>0</c:v>
                </c:pt>
                <c:pt idx="1">
                  <c:v>0</c:v>
                </c:pt>
                <c:pt idx="2">
                  <c:v>0</c:v>
                </c:pt>
                <c:pt idx="3">
                  <c:v>0</c:v>
                </c:pt>
                <c:pt idx="4">
                  <c:v>0</c:v>
                </c:pt>
                <c:pt idx="5">
                  <c:v>0</c:v>
                </c:pt>
                <c:pt idx="6">
                  <c:v>0</c:v>
                </c:pt>
              </c:numCache>
            </c:numRef>
          </c:val>
        </c:ser>
        <c:ser>
          <c:idx val="2"/>
          <c:order val="2"/>
          <c:tx>
            <c:strRef>
              <c:f>'Ejecución $'!$O$2</c:f>
              <c:strCache>
                <c:ptCount val="1"/>
                <c:pt idx="0">
                  <c:v>EFECTIVIDAD</c:v>
                </c:pt>
              </c:strCache>
            </c:strRef>
          </c:tx>
          <c:spPr>
            <a:solidFill>
              <a:schemeClr val="accent3"/>
            </a:solidFill>
            <a:ln>
              <a:noFill/>
            </a:ln>
            <a:effectLst/>
            <a:sp3d/>
          </c:spPr>
          <c:invertIfNegative val="0"/>
          <c:dLbls>
            <c:dLbl>
              <c:idx val="0"/>
              <c:layout>
                <c:manualLayout>
                  <c:x val="4.4009779951100211E-2"/>
                  <c:y val="-7.763220550650771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6079869600651995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9339853300733496E-2"/>
                  <c:y val="-1.164483082597613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9119804400977995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5.5419722901385374E-2"/>
                  <c:y val="-4.26977130285790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$'!$O$3:$O$9</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109205760"/>
        <c:axId val="109232128"/>
        <c:axId val="0"/>
      </c:bar3DChart>
      <c:catAx>
        <c:axId val="10920576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232128"/>
        <c:crosses val="autoZero"/>
        <c:auto val="1"/>
        <c:lblAlgn val="ctr"/>
        <c:lblOffset val="100"/>
        <c:noMultiLvlLbl val="0"/>
      </c:catAx>
      <c:valAx>
        <c:axId val="10923212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20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INVESTIGACIÓN</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$'!$M$13</c:f>
              <c:strCache>
                <c:ptCount val="1"/>
                <c:pt idx="0">
                  <c:v>EFICIENCIA</c:v>
                </c:pt>
              </c:strCache>
            </c:strRef>
          </c:tx>
          <c:spPr>
            <a:solidFill>
              <a:schemeClr val="accent1"/>
            </a:solidFill>
            <a:ln>
              <a:noFill/>
            </a:ln>
            <a:effectLst/>
            <a:sp3d/>
          </c:spPr>
          <c:invertIfNegative val="0"/>
          <c:dLbls>
            <c:dLbl>
              <c:idx val="0"/>
              <c:layout>
                <c:manualLayout>
                  <c:x val="-2.4449877750611262E-2"/>
                  <c:y val="-4.2697713028579116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7.375059523118206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$'!$M$14:$M$22</c:f>
              <c:numCache>
                <c:formatCode>0.00%</c:formatCode>
                <c:ptCount val="9"/>
                <c:pt idx="0">
                  <c:v>0</c:v>
                </c:pt>
                <c:pt idx="1">
                  <c:v>0</c:v>
                </c:pt>
                <c:pt idx="2">
                  <c:v>0</c:v>
                </c:pt>
                <c:pt idx="3">
                  <c:v>0</c:v>
                </c:pt>
                <c:pt idx="4">
                  <c:v>0</c:v>
                </c:pt>
                <c:pt idx="5">
                  <c:v>0</c:v>
                </c:pt>
                <c:pt idx="6">
                  <c:v>0</c:v>
                </c:pt>
                <c:pt idx="7">
                  <c:v>0</c:v>
                </c:pt>
                <c:pt idx="8">
                  <c:v>0</c:v>
                </c:pt>
              </c:numCache>
            </c:numRef>
          </c:val>
        </c:ser>
        <c:ser>
          <c:idx val="1"/>
          <c:order val="1"/>
          <c:tx>
            <c:strRef>
              <c:f>'Ejecución $'!$N$13</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3039934800325939E-2"/>
                  <c:y val="-5.4342543854555149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998E-2"/>
                  <c:y val="-4.6579323303904421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2.4449877750611367E-2"/>
                  <c:y val="-0.23289661651952207"/>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$'!$N$14:$N$22</c:f>
              <c:numCache>
                <c:formatCode>0.00%</c:formatCode>
                <c:ptCount val="9"/>
                <c:pt idx="0">
                  <c:v>0</c:v>
                </c:pt>
                <c:pt idx="1">
                  <c:v>0</c:v>
                </c:pt>
                <c:pt idx="2">
                  <c:v>0</c:v>
                </c:pt>
                <c:pt idx="3">
                  <c:v>0</c:v>
                </c:pt>
                <c:pt idx="4">
                  <c:v>0</c:v>
                </c:pt>
                <c:pt idx="5">
                  <c:v>0</c:v>
                </c:pt>
                <c:pt idx="6">
                  <c:v>0</c:v>
                </c:pt>
                <c:pt idx="7">
                  <c:v>0</c:v>
                </c:pt>
                <c:pt idx="8">
                  <c:v>0</c:v>
                </c:pt>
              </c:numCache>
            </c:numRef>
          </c:val>
        </c:ser>
        <c:ser>
          <c:idx val="2"/>
          <c:order val="2"/>
          <c:tx>
            <c:strRef>
              <c:f>'Ejecución $'!$O$13</c:f>
              <c:strCache>
                <c:ptCount val="1"/>
                <c:pt idx="0">
                  <c:v>EFECTIVIDAD</c:v>
                </c:pt>
              </c:strCache>
            </c:strRef>
          </c:tx>
          <c:spPr>
            <a:solidFill>
              <a:schemeClr val="accent3"/>
            </a:solidFill>
            <a:ln>
              <a:noFill/>
            </a:ln>
            <a:effectLst/>
            <a:sp3d/>
          </c:spPr>
          <c:invertIfNegative val="0"/>
          <c:dLbls>
            <c:dLbl>
              <c:idx val="0"/>
              <c:layout>
                <c:manualLayout>
                  <c:x val="4.4009779951100211E-2"/>
                  <c:y val="-7.763220550650771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9339853300733496E-2"/>
                  <c:y val="-1.164483082597613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7.3349633251833746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5.5419722901385374E-2"/>
                  <c:y val="-4.26977130285790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$'!$O$14:$O$22</c:f>
              <c:numCache>
                <c:formatCode>0.00%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50"/>
        <c:shape val="box"/>
        <c:axId val="109288448"/>
        <c:axId val="109310720"/>
        <c:axId val="0"/>
      </c:bar3DChart>
      <c:catAx>
        <c:axId val="1092884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310720"/>
        <c:crosses val="autoZero"/>
        <c:auto val="1"/>
        <c:lblAlgn val="ctr"/>
        <c:lblOffset val="100"/>
        <c:noMultiLvlLbl val="0"/>
      </c:catAx>
      <c:valAx>
        <c:axId val="1093107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288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PROYECCIÓN</a:t>
            </a:r>
            <a:r>
              <a:rPr lang="es-CO" baseline="0">
                <a:solidFill>
                  <a:sysClr val="windowText" lastClr="000000"/>
                </a:solidFill>
              </a:rPr>
              <a:t> SOCIAL</a:t>
            </a:r>
            <a:endParaRPr lang="es-CO">
              <a:solidFill>
                <a:sysClr val="windowText" lastClr="000000"/>
              </a:solidFill>
            </a:endParaRP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$'!$M$26</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$'!$M$27:$M$34</c:f>
              <c:numCache>
                <c:formatCode>0.00%</c:formatCode>
                <c:ptCount val="8"/>
                <c:pt idx="0">
                  <c:v>0</c:v>
                </c:pt>
                <c:pt idx="1">
                  <c:v>0</c:v>
                </c:pt>
                <c:pt idx="2">
                  <c:v>0</c:v>
                </c:pt>
                <c:pt idx="3">
                  <c:v>0</c:v>
                </c:pt>
                <c:pt idx="4">
                  <c:v>0</c:v>
                </c:pt>
                <c:pt idx="5">
                  <c:v>0</c:v>
                </c:pt>
                <c:pt idx="6">
                  <c:v>0</c:v>
                </c:pt>
                <c:pt idx="7">
                  <c:v>0</c:v>
                </c:pt>
              </c:numCache>
            </c:numRef>
          </c:val>
        </c:ser>
        <c:ser>
          <c:idx val="1"/>
          <c:order val="1"/>
          <c:tx>
            <c:strRef>
              <c:f>'Ejecución $'!$N$26</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$'!$N$27:$N$34</c:f>
              <c:numCache>
                <c:formatCode>0.00%</c:formatCode>
                <c:ptCount val="8"/>
                <c:pt idx="0">
                  <c:v>0</c:v>
                </c:pt>
                <c:pt idx="1">
                  <c:v>0</c:v>
                </c:pt>
                <c:pt idx="2">
                  <c:v>0</c:v>
                </c:pt>
                <c:pt idx="3">
                  <c:v>0</c:v>
                </c:pt>
                <c:pt idx="4">
                  <c:v>0</c:v>
                </c:pt>
                <c:pt idx="5">
                  <c:v>0</c:v>
                </c:pt>
                <c:pt idx="6">
                  <c:v>0</c:v>
                </c:pt>
                <c:pt idx="7">
                  <c:v>0</c:v>
                </c:pt>
              </c:numCache>
            </c:numRef>
          </c:val>
        </c:ser>
        <c:ser>
          <c:idx val="2"/>
          <c:order val="2"/>
          <c:tx>
            <c:strRef>
              <c:f>'Ejecución $'!$O$26</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669926650366748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$'!$O$27:$O$34</c:f>
              <c:numCache>
                <c:formatCode>0.00%</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50"/>
        <c:shape val="box"/>
        <c:axId val="109678592"/>
        <c:axId val="109680128"/>
        <c:axId val="0"/>
      </c:bar3DChart>
      <c:catAx>
        <c:axId val="10967859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80128"/>
        <c:crosses val="autoZero"/>
        <c:auto val="1"/>
        <c:lblAlgn val="ctr"/>
        <c:lblOffset val="100"/>
        <c:noMultiLvlLbl val="0"/>
      </c:catAx>
      <c:valAx>
        <c:axId val="10968012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678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BIENESTAR UNIVERSITARIO</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$'!$M$39</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$'!$M$40:$M$45</c:f>
              <c:numCache>
                <c:formatCode>0.00%</c:formatCode>
                <c:ptCount val="6"/>
                <c:pt idx="0">
                  <c:v>0</c:v>
                </c:pt>
                <c:pt idx="1">
                  <c:v>0</c:v>
                </c:pt>
                <c:pt idx="2">
                  <c:v>0</c:v>
                </c:pt>
                <c:pt idx="3">
                  <c:v>0</c:v>
                </c:pt>
                <c:pt idx="4">
                  <c:v>0</c:v>
                </c:pt>
                <c:pt idx="5">
                  <c:v>0</c:v>
                </c:pt>
              </c:numCache>
            </c:numRef>
          </c:val>
        </c:ser>
        <c:ser>
          <c:idx val="1"/>
          <c:order val="1"/>
          <c:tx>
            <c:strRef>
              <c:f>'Ejecución $'!$N$39</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$'!$N$40:$N$45</c:f>
              <c:numCache>
                <c:formatCode>0.00%</c:formatCode>
                <c:ptCount val="6"/>
                <c:pt idx="0">
                  <c:v>0</c:v>
                </c:pt>
                <c:pt idx="1">
                  <c:v>1</c:v>
                </c:pt>
                <c:pt idx="2">
                  <c:v>1</c:v>
                </c:pt>
                <c:pt idx="3">
                  <c:v>0</c:v>
                </c:pt>
                <c:pt idx="4">
                  <c:v>1</c:v>
                </c:pt>
                <c:pt idx="5">
                  <c:v>0.15509999999999999</c:v>
                </c:pt>
              </c:numCache>
            </c:numRef>
          </c:val>
        </c:ser>
        <c:ser>
          <c:idx val="2"/>
          <c:order val="2"/>
          <c:tx>
            <c:strRef>
              <c:f>'Ejecución $'!$O$39</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669926650366748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$'!$O$40:$O$45</c:f>
              <c:numCache>
                <c:formatCode>0.00%</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150"/>
        <c:shape val="box"/>
        <c:axId val="109724032"/>
        <c:axId val="109725568"/>
        <c:axId val="0"/>
      </c:bar3DChart>
      <c:catAx>
        <c:axId val="1097240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725568"/>
        <c:crosses val="autoZero"/>
        <c:auto val="1"/>
        <c:lblAlgn val="ctr"/>
        <c:lblOffset val="100"/>
        <c:noMultiLvlLbl val="0"/>
      </c:catAx>
      <c:valAx>
        <c:axId val="1097255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724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BIENESTAR UNIVERSITARIO</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$'!$M$49</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$'!$M$50:$M$55</c:f>
              <c:numCache>
                <c:formatCode>0.00%</c:formatCode>
                <c:ptCount val="6"/>
                <c:pt idx="0">
                  <c:v>0</c:v>
                </c:pt>
                <c:pt idx="1">
                  <c:v>0</c:v>
                </c:pt>
                <c:pt idx="2">
                  <c:v>0</c:v>
                </c:pt>
                <c:pt idx="3">
                  <c:v>0</c:v>
                </c:pt>
                <c:pt idx="4">
                  <c:v>0</c:v>
                </c:pt>
                <c:pt idx="5">
                  <c:v>0</c:v>
                </c:pt>
              </c:numCache>
            </c:numRef>
          </c:val>
        </c:ser>
        <c:ser>
          <c:idx val="1"/>
          <c:order val="1"/>
          <c:tx>
            <c:strRef>
              <c:f>'Ejecución $'!$N$49</c:f>
              <c:strCache>
                <c:ptCount val="1"/>
                <c:pt idx="0">
                  <c:v>EFICACIA</c:v>
                </c:pt>
              </c:strCache>
            </c:strRef>
          </c:tx>
          <c:spPr>
            <a:solidFill>
              <a:schemeClr val="accent2"/>
            </a:solidFill>
            <a:ln>
              <a:noFill/>
            </a:ln>
            <a:effectLst/>
            <a:sp3d/>
          </c:spPr>
          <c:invertIfNegative val="0"/>
          <c:dLbls>
            <c:dLbl>
              <c:idx val="0"/>
              <c:layout>
                <c:manualLayout>
                  <c:x val="9.7799511002444692E-3"/>
                  <c:y val="-9.315864660780889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2599837000814994E-3"/>
                  <c:y val="-3.1052882202602976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955990220048888E-2"/>
                  <c:y val="-0.18416987638141011"/>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$'!$N$50:$N$55</c:f>
              <c:numCache>
                <c:formatCode>0.00%</c:formatCode>
                <c:ptCount val="6"/>
                <c:pt idx="0">
                  <c:v>0</c:v>
                </c:pt>
                <c:pt idx="1">
                  <c:v>0</c:v>
                </c:pt>
                <c:pt idx="2">
                  <c:v>0</c:v>
                </c:pt>
                <c:pt idx="3">
                  <c:v>0</c:v>
                </c:pt>
                <c:pt idx="4">
                  <c:v>0</c:v>
                </c:pt>
                <c:pt idx="5">
                  <c:v>0</c:v>
                </c:pt>
              </c:numCache>
            </c:numRef>
          </c:val>
        </c:ser>
        <c:ser>
          <c:idx val="2"/>
          <c:order val="2"/>
          <c:tx>
            <c:strRef>
              <c:f>'Ejecución $'!$O$49</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9559902200488997E-2"/>
                  <c:y val="-6.986898495585669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4229828850855744E-2"/>
                  <c:y val="-3.4934492477928347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$'!$O$50:$O$55</c:f>
              <c:numCache>
                <c:formatCode>0.00%</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150"/>
        <c:shape val="box"/>
        <c:axId val="109823488"/>
        <c:axId val="109825024"/>
        <c:axId val="0"/>
      </c:bar3DChart>
      <c:catAx>
        <c:axId val="1098234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825024"/>
        <c:crosses val="autoZero"/>
        <c:auto val="1"/>
        <c:lblAlgn val="ctr"/>
        <c:lblOffset val="100"/>
        <c:noMultiLvlLbl val="0"/>
      </c:catAx>
      <c:valAx>
        <c:axId val="1098250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09823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010910268607175E-2"/>
          <c:y val="5.1400554097404488E-2"/>
          <c:w val="0.87810524327132622"/>
          <c:h val="0.55009550889472147"/>
        </c:manualLayout>
      </c:layout>
      <c:barChart>
        <c:barDir val="col"/>
        <c:grouping val="clustered"/>
        <c:varyColors val="0"/>
        <c:ser>
          <c:idx val="0"/>
          <c:order val="0"/>
          <c:tx>
            <c:strRef>
              <c:f>BIENESTAR!$B$27</c:f>
              <c:strCache>
                <c:ptCount val="1"/>
                <c:pt idx="0">
                  <c:v>EFICACIA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BIENESTAR!$A$28:$A$33</c:f>
              <c:strCache>
                <c:ptCount val="6"/>
                <c:pt idx="0">
                  <c:v>SB-PY1.   Universidad Saludable.</c:v>
                </c:pt>
                <c:pt idx="1">
                  <c:v>0</c:v>
                </c:pt>
                <c:pt idx="2">
                  <c:v>0</c:v>
                </c:pt>
                <c:pt idx="3">
                  <c:v>0</c:v>
                </c:pt>
                <c:pt idx="4">
                  <c:v>0</c:v>
                </c:pt>
                <c:pt idx="5">
                  <c:v>TOTAL SUBSISTEMA BIENESTAR UNIVERSITARIO</c:v>
                </c:pt>
              </c:strCache>
            </c:strRef>
          </c:cat>
          <c:val>
            <c:numRef>
              <c:f>BIENESTAR!$B$28:$B$33</c:f>
              <c:numCache>
                <c:formatCode>0.00%</c:formatCode>
                <c:ptCount val="6"/>
                <c:pt idx="0">
                  <c:v>0</c:v>
                </c:pt>
                <c:pt idx="1">
                  <c:v>1</c:v>
                </c:pt>
                <c:pt idx="2">
                  <c:v>1</c:v>
                </c:pt>
                <c:pt idx="3">
                  <c:v>0</c:v>
                </c:pt>
                <c:pt idx="4">
                  <c:v>1</c:v>
                </c:pt>
                <c:pt idx="5">
                  <c:v>0.15509999999999999</c:v>
                </c:pt>
              </c:numCache>
            </c:numRef>
          </c:val>
        </c:ser>
        <c:ser>
          <c:idx val="1"/>
          <c:order val="1"/>
          <c:tx>
            <c:strRef>
              <c:f>BIENESTAR!$C$27</c:f>
              <c:strCache>
                <c:ptCount val="1"/>
                <c:pt idx="0">
                  <c:v>EFICIENCIA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BIENESTAR!$A$28:$A$33</c:f>
              <c:strCache>
                <c:ptCount val="6"/>
                <c:pt idx="0">
                  <c:v>SB-PY1.   Universidad Saludable.</c:v>
                </c:pt>
                <c:pt idx="1">
                  <c:v>0</c:v>
                </c:pt>
                <c:pt idx="2">
                  <c:v>0</c:v>
                </c:pt>
                <c:pt idx="3">
                  <c:v>0</c:v>
                </c:pt>
                <c:pt idx="4">
                  <c:v>0</c:v>
                </c:pt>
                <c:pt idx="5">
                  <c:v>TOTAL SUBSISTEMA BIENESTAR UNIVERSITARIO</c:v>
                </c:pt>
              </c:strCache>
            </c:strRef>
          </c:cat>
          <c:val>
            <c:numRef>
              <c:f>BIENESTAR!$C$28:$C$33</c:f>
              <c:numCache>
                <c:formatCode>0.00%</c:formatCode>
                <c:ptCount val="6"/>
                <c:pt idx="0">
                  <c:v>0</c:v>
                </c:pt>
                <c:pt idx="1">
                  <c:v>0</c:v>
                </c:pt>
                <c:pt idx="2">
                  <c:v>0</c:v>
                </c:pt>
                <c:pt idx="3">
                  <c:v>0</c:v>
                </c:pt>
                <c:pt idx="4">
                  <c:v>0</c:v>
                </c:pt>
                <c:pt idx="5">
                  <c:v>0</c:v>
                </c:pt>
              </c:numCache>
            </c:numRef>
          </c:val>
        </c:ser>
        <c:ser>
          <c:idx val="2"/>
          <c:order val="2"/>
          <c:tx>
            <c:strRef>
              <c:f>BIENESTAR!$D$27</c:f>
              <c:strCache>
                <c:ptCount val="1"/>
                <c:pt idx="0">
                  <c:v>EFECTIVIDAD</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BIENESTAR!$A$28:$A$33</c:f>
              <c:strCache>
                <c:ptCount val="6"/>
                <c:pt idx="0">
                  <c:v>SB-PY1.   Universidad Saludable.</c:v>
                </c:pt>
                <c:pt idx="1">
                  <c:v>0</c:v>
                </c:pt>
                <c:pt idx="2">
                  <c:v>0</c:v>
                </c:pt>
                <c:pt idx="3">
                  <c:v>0</c:v>
                </c:pt>
                <c:pt idx="4">
                  <c:v>0</c:v>
                </c:pt>
                <c:pt idx="5">
                  <c:v>TOTAL SUBSISTEMA BIENESTAR UNIVERSITARIO</c:v>
                </c:pt>
              </c:strCache>
            </c:strRef>
          </c:cat>
          <c:val>
            <c:numRef>
              <c:f>BIENESTAR!$D$28:$D$33</c:f>
              <c:numCache>
                <c:formatCode>0.00%</c:formatCode>
                <c:ptCount val="6"/>
                <c:pt idx="0">
                  <c:v>0</c:v>
                </c:pt>
                <c:pt idx="1">
                  <c:v>0.5</c:v>
                </c:pt>
                <c:pt idx="2">
                  <c:v>0.5</c:v>
                </c:pt>
                <c:pt idx="3">
                  <c:v>0</c:v>
                </c:pt>
                <c:pt idx="4">
                  <c:v>0.5</c:v>
                </c:pt>
                <c:pt idx="5">
                  <c:v>7.7549999999999994E-2</c:v>
                </c:pt>
              </c:numCache>
            </c:numRef>
          </c:val>
        </c:ser>
        <c:dLbls>
          <c:showLegendKey val="0"/>
          <c:showVal val="0"/>
          <c:showCatName val="0"/>
          <c:showSerName val="0"/>
          <c:showPercent val="0"/>
          <c:showBubbleSize val="0"/>
        </c:dLbls>
        <c:gapWidth val="150"/>
        <c:axId val="101902592"/>
        <c:axId val="107601920"/>
      </c:barChart>
      <c:catAx>
        <c:axId val="101902592"/>
        <c:scaling>
          <c:orientation val="minMax"/>
        </c:scaling>
        <c:delete val="0"/>
        <c:axPos val="b"/>
        <c:numFmt formatCode="General" sourceLinked="0"/>
        <c:majorTickMark val="out"/>
        <c:minorTickMark val="none"/>
        <c:tickLblPos val="nextTo"/>
        <c:crossAx val="107601920"/>
        <c:crosses val="autoZero"/>
        <c:auto val="1"/>
        <c:lblAlgn val="ctr"/>
        <c:lblOffset val="100"/>
        <c:noMultiLvlLbl val="0"/>
      </c:catAx>
      <c:valAx>
        <c:axId val="107601920"/>
        <c:scaling>
          <c:orientation val="minMax"/>
        </c:scaling>
        <c:delete val="0"/>
        <c:axPos val="l"/>
        <c:majorGridlines/>
        <c:numFmt formatCode="0.00%" sourceLinked="1"/>
        <c:majorTickMark val="out"/>
        <c:minorTickMark val="none"/>
        <c:tickLblPos val="nextTo"/>
        <c:crossAx val="101902592"/>
        <c:crosses val="autoZero"/>
        <c:crossBetween val="between"/>
      </c:valAx>
    </c:plotArea>
    <c:legend>
      <c:legendPos val="r"/>
      <c:layout>
        <c:manualLayout>
          <c:xMode val="edge"/>
          <c:yMode val="edge"/>
          <c:x val="0.34472198044653157"/>
          <c:y val="0.89757217847769033"/>
          <c:w val="0.39820861081310854"/>
          <c:h val="8.4484908136482947E-2"/>
        </c:manualLayout>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100"/>
              <a:t>COMPARATIVO</a:t>
            </a:r>
            <a:r>
              <a:rPr lang="en-US" sz="1100" baseline="0"/>
              <a:t> ENTRE EFICACIA Y EFICIENCIA DE LOS PROYECTOS   S.FORMACIÓN</a:t>
            </a:r>
          </a:p>
          <a:p>
            <a:pPr>
              <a:defRPr/>
            </a:pPr>
            <a:endParaRPr lang="en-US"/>
          </a:p>
        </c:rich>
      </c:tx>
      <c:overlay val="0"/>
    </c:title>
    <c:autoTitleDeleted val="0"/>
    <c:plotArea>
      <c:layout/>
      <c:barChart>
        <c:barDir val="col"/>
        <c:grouping val="clustered"/>
        <c:varyColors val="0"/>
        <c:ser>
          <c:idx val="0"/>
          <c:order val="0"/>
          <c:tx>
            <c:v>EFICACIA </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FORMACIÓN!#REF!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FORMACIÓN!#REF!</c15:sqref>
                        </c15:formulaRef>
                      </c:ext>
                    </c:extLst>
                  </c:multiLvlStrRef>
                </c15:cat>
              </c15:filteredCategoryTitle>
            </c:ext>
          </c:extLst>
        </c:ser>
        <c:ser>
          <c:idx val="1"/>
          <c:order val="1"/>
          <c:tx>
            <c:v>EFICIENCIA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FORMACIÓN!#REF!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FORMACIÓN!#REF!</c15:sqref>
                        </c15:formulaRef>
                      </c:ext>
                    </c:extLst>
                  </c:multiLvlStrRef>
                </c15:cat>
              </c15:filteredCategoryTitle>
            </c:ext>
          </c:extLst>
        </c:ser>
        <c:dLbls>
          <c:showLegendKey val="0"/>
          <c:showVal val="1"/>
          <c:showCatName val="0"/>
          <c:showSerName val="0"/>
          <c:showPercent val="0"/>
          <c:showBubbleSize val="0"/>
        </c:dLbls>
        <c:gapWidth val="150"/>
        <c:overlap val="-25"/>
        <c:axId val="110049152"/>
        <c:axId val="110050304"/>
      </c:barChart>
      <c:catAx>
        <c:axId val="110049152"/>
        <c:scaling>
          <c:orientation val="minMax"/>
        </c:scaling>
        <c:delete val="0"/>
        <c:axPos val="b"/>
        <c:numFmt formatCode="General" sourceLinked="0"/>
        <c:majorTickMark val="none"/>
        <c:minorTickMark val="none"/>
        <c:tickLblPos val="nextTo"/>
        <c:crossAx val="110050304"/>
        <c:crosses val="autoZero"/>
        <c:auto val="1"/>
        <c:lblAlgn val="ctr"/>
        <c:lblOffset val="100"/>
        <c:noMultiLvlLbl val="0"/>
      </c:catAx>
      <c:valAx>
        <c:axId val="110050304"/>
        <c:scaling>
          <c:orientation val="minMax"/>
        </c:scaling>
        <c:delete val="1"/>
        <c:axPos val="l"/>
        <c:numFmt formatCode="General" sourceLinked="1"/>
        <c:majorTickMark val="out"/>
        <c:minorTickMark val="none"/>
        <c:tickLblPos val="nextTo"/>
        <c:crossAx val="11004915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142875</xdr:colOff>
      <xdr:row>4</xdr:row>
      <xdr:rowOff>57151</xdr:rowOff>
    </xdr:from>
    <xdr:to>
      <xdr:col>1</xdr:col>
      <xdr:colOff>657225</xdr:colOff>
      <xdr:row>6</xdr:row>
      <xdr:rowOff>123825</xdr:rowOff>
    </xdr:to>
    <xdr:sp macro="" textlink="">
      <xdr:nvSpPr>
        <xdr:cNvPr id="2" name="1 Elipse"/>
        <xdr:cNvSpPr/>
      </xdr:nvSpPr>
      <xdr:spPr>
        <a:xfrm>
          <a:off x="904875" y="8286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7</xdr:row>
      <xdr:rowOff>38100</xdr:rowOff>
    </xdr:from>
    <xdr:to>
      <xdr:col>1</xdr:col>
      <xdr:colOff>657225</xdr:colOff>
      <xdr:row>9</xdr:row>
      <xdr:rowOff>133350</xdr:rowOff>
    </xdr:to>
    <xdr:sp macro="" textlink="">
      <xdr:nvSpPr>
        <xdr:cNvPr id="3" name="2 Elipse"/>
        <xdr:cNvSpPr/>
      </xdr:nvSpPr>
      <xdr:spPr>
        <a:xfrm>
          <a:off x="904875" y="13811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10</xdr:row>
      <xdr:rowOff>66675</xdr:rowOff>
    </xdr:from>
    <xdr:to>
      <xdr:col>1</xdr:col>
      <xdr:colOff>666750</xdr:colOff>
      <xdr:row>12</xdr:row>
      <xdr:rowOff>161925</xdr:rowOff>
    </xdr:to>
    <xdr:sp macro="" textlink="">
      <xdr:nvSpPr>
        <xdr:cNvPr id="4" name="3 Elipse"/>
        <xdr:cNvSpPr/>
      </xdr:nvSpPr>
      <xdr:spPr>
        <a:xfrm>
          <a:off x="914400" y="1981200"/>
          <a:ext cx="514350" cy="542925"/>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13</xdr:row>
      <xdr:rowOff>142874</xdr:rowOff>
    </xdr:from>
    <xdr:to>
      <xdr:col>1</xdr:col>
      <xdr:colOff>666750</xdr:colOff>
      <xdr:row>15</xdr:row>
      <xdr:rowOff>152399</xdr:rowOff>
    </xdr:to>
    <xdr:sp macro="" textlink="">
      <xdr:nvSpPr>
        <xdr:cNvPr id="5" name="4 Elipse"/>
        <xdr:cNvSpPr/>
      </xdr:nvSpPr>
      <xdr:spPr>
        <a:xfrm>
          <a:off x="914400" y="2762249"/>
          <a:ext cx="514350" cy="54292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18</xdr:row>
      <xdr:rowOff>57151</xdr:rowOff>
    </xdr:from>
    <xdr:to>
      <xdr:col>1</xdr:col>
      <xdr:colOff>657225</xdr:colOff>
      <xdr:row>20</xdr:row>
      <xdr:rowOff>123825</xdr:rowOff>
    </xdr:to>
    <xdr:sp macro="" textlink="">
      <xdr:nvSpPr>
        <xdr:cNvPr id="6"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21</xdr:row>
      <xdr:rowOff>38100</xdr:rowOff>
    </xdr:from>
    <xdr:to>
      <xdr:col>1</xdr:col>
      <xdr:colOff>657225</xdr:colOff>
      <xdr:row>23</xdr:row>
      <xdr:rowOff>133350</xdr:rowOff>
    </xdr:to>
    <xdr:sp macro="" textlink="">
      <xdr:nvSpPr>
        <xdr:cNvPr id="7"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24</xdr:row>
      <xdr:rowOff>66675</xdr:rowOff>
    </xdr:from>
    <xdr:to>
      <xdr:col>1</xdr:col>
      <xdr:colOff>666750</xdr:colOff>
      <xdr:row>26</xdr:row>
      <xdr:rowOff>161925</xdr:rowOff>
    </xdr:to>
    <xdr:sp macro="" textlink="">
      <xdr:nvSpPr>
        <xdr:cNvPr id="8"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27</xdr:row>
      <xdr:rowOff>142874</xdr:rowOff>
    </xdr:from>
    <xdr:to>
      <xdr:col>1</xdr:col>
      <xdr:colOff>666750</xdr:colOff>
      <xdr:row>29</xdr:row>
      <xdr:rowOff>152399</xdr:rowOff>
    </xdr:to>
    <xdr:sp macro="" textlink="">
      <xdr:nvSpPr>
        <xdr:cNvPr id="9"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33</xdr:row>
      <xdr:rowOff>57151</xdr:rowOff>
    </xdr:from>
    <xdr:to>
      <xdr:col>1</xdr:col>
      <xdr:colOff>657225</xdr:colOff>
      <xdr:row>35</xdr:row>
      <xdr:rowOff>123825</xdr:rowOff>
    </xdr:to>
    <xdr:sp macro="" textlink="">
      <xdr:nvSpPr>
        <xdr:cNvPr id="10"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36</xdr:row>
      <xdr:rowOff>38100</xdr:rowOff>
    </xdr:from>
    <xdr:to>
      <xdr:col>1</xdr:col>
      <xdr:colOff>657225</xdr:colOff>
      <xdr:row>38</xdr:row>
      <xdr:rowOff>133350</xdr:rowOff>
    </xdr:to>
    <xdr:sp macro="" textlink="">
      <xdr:nvSpPr>
        <xdr:cNvPr id="11"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39</xdr:row>
      <xdr:rowOff>66675</xdr:rowOff>
    </xdr:from>
    <xdr:to>
      <xdr:col>1</xdr:col>
      <xdr:colOff>666750</xdr:colOff>
      <xdr:row>41</xdr:row>
      <xdr:rowOff>161925</xdr:rowOff>
    </xdr:to>
    <xdr:sp macro="" textlink="">
      <xdr:nvSpPr>
        <xdr:cNvPr id="12"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42</xdr:row>
      <xdr:rowOff>142874</xdr:rowOff>
    </xdr:from>
    <xdr:to>
      <xdr:col>1</xdr:col>
      <xdr:colOff>666750</xdr:colOff>
      <xdr:row>44</xdr:row>
      <xdr:rowOff>152399</xdr:rowOff>
    </xdr:to>
    <xdr:sp macro="" textlink="">
      <xdr:nvSpPr>
        <xdr:cNvPr id="13"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171450</xdr:colOff>
      <xdr:row>48</xdr:row>
      <xdr:rowOff>0</xdr:rowOff>
    </xdr:from>
    <xdr:to>
      <xdr:col>1</xdr:col>
      <xdr:colOff>685170</xdr:colOff>
      <xdr:row>50</xdr:row>
      <xdr:rowOff>132660</xdr:rowOff>
    </xdr:to>
    <xdr:sp macro="" textlink="">
      <xdr:nvSpPr>
        <xdr:cNvPr id="14" name="CustomShape 1"/>
        <xdr:cNvSpPr/>
      </xdr:nvSpPr>
      <xdr:spPr>
        <a:xfrm>
          <a:off x="933450" y="96583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161925</xdr:colOff>
      <xdr:row>51</xdr:row>
      <xdr:rowOff>76200</xdr:rowOff>
    </xdr:from>
    <xdr:to>
      <xdr:col>1</xdr:col>
      <xdr:colOff>675645</xdr:colOff>
      <xdr:row>53</xdr:row>
      <xdr:rowOff>132690</xdr:rowOff>
    </xdr:to>
    <xdr:sp macro="" textlink="">
      <xdr:nvSpPr>
        <xdr:cNvPr id="15" name="CustomShape 1"/>
        <xdr:cNvSpPr/>
      </xdr:nvSpPr>
      <xdr:spPr>
        <a:xfrm>
          <a:off x="923925" y="1030605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218910</xdr:colOff>
      <xdr:row>60</xdr:row>
      <xdr:rowOff>85395</xdr:rowOff>
    </xdr:from>
    <xdr:to>
      <xdr:col>1</xdr:col>
      <xdr:colOff>732630</xdr:colOff>
      <xdr:row>62</xdr:row>
      <xdr:rowOff>132165</xdr:rowOff>
    </xdr:to>
    <xdr:sp macro="" textlink="">
      <xdr:nvSpPr>
        <xdr:cNvPr id="16" name="CustomShape 1"/>
        <xdr:cNvSpPr/>
      </xdr:nvSpPr>
      <xdr:spPr>
        <a:xfrm>
          <a:off x="980910" y="12344070"/>
          <a:ext cx="513720" cy="523020"/>
        </a:xfrm>
        <a:prstGeom prst="ellipse">
          <a:avLst/>
        </a:prstGeom>
        <a:solidFill>
          <a:srgbClr val="FF33CC"/>
        </a:solidFill>
        <a:ln w="25560">
          <a:solidFill>
            <a:srgbClr val="3A5F8B"/>
          </a:solidFill>
          <a:round/>
        </a:ln>
      </xdr:spPr>
    </xdr:sp>
    <xdr:clientData/>
  </xdr:twoCellAnchor>
  <xdr:twoCellAnchor editAs="absolute">
    <xdr:from>
      <xdr:col>1</xdr:col>
      <xdr:colOff>171285</xdr:colOff>
      <xdr:row>54</xdr:row>
      <xdr:rowOff>66540</xdr:rowOff>
    </xdr:from>
    <xdr:to>
      <xdr:col>1</xdr:col>
      <xdr:colOff>685005</xdr:colOff>
      <xdr:row>56</xdr:row>
      <xdr:rowOff>161130</xdr:rowOff>
    </xdr:to>
    <xdr:sp macro="" textlink="">
      <xdr:nvSpPr>
        <xdr:cNvPr id="17" name="CustomShape 1"/>
        <xdr:cNvSpPr/>
      </xdr:nvSpPr>
      <xdr:spPr>
        <a:xfrm>
          <a:off x="933285" y="11010765"/>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199860</xdr:colOff>
      <xdr:row>57</xdr:row>
      <xdr:rowOff>47430</xdr:rowOff>
    </xdr:from>
    <xdr:to>
      <xdr:col>1</xdr:col>
      <xdr:colOff>713580</xdr:colOff>
      <xdr:row>59</xdr:row>
      <xdr:rowOff>170460</xdr:rowOff>
    </xdr:to>
    <xdr:sp macro="" textlink="">
      <xdr:nvSpPr>
        <xdr:cNvPr id="18" name="CustomShape 1"/>
        <xdr:cNvSpPr/>
      </xdr:nvSpPr>
      <xdr:spPr>
        <a:xfrm>
          <a:off x="961860" y="11648880"/>
          <a:ext cx="513720" cy="56118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22</xdr:col>
      <xdr:colOff>0</xdr:colOff>
      <xdr:row>0</xdr:row>
      <xdr:rowOff>31750</xdr:rowOff>
    </xdr:from>
    <xdr:to>
      <xdr:col>24</xdr:col>
      <xdr:colOff>81860</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22</xdr:col>
      <xdr:colOff>0</xdr:colOff>
      <xdr:row>0</xdr:row>
      <xdr:rowOff>28575</xdr:rowOff>
    </xdr:from>
    <xdr:to>
      <xdr:col>22</xdr:col>
      <xdr:colOff>581025</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oneCellAnchor>
    <xdr:from>
      <xdr:col>21</xdr:col>
      <xdr:colOff>1756833</xdr:colOff>
      <xdr:row>0</xdr:row>
      <xdr:rowOff>31750</xdr:rowOff>
    </xdr:from>
    <xdr:ext cx="1598084" cy="546100"/>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449250" y="31750"/>
          <a:ext cx="1598084" cy="546100"/>
        </a:xfrm>
        <a:prstGeom prst="rect">
          <a:avLst/>
        </a:prstGeom>
      </xdr:spPr>
    </xdr:pic>
    <xdr:clientData/>
  </xdr:oneCellAnchor>
  <xdr:twoCellAnchor editAs="oneCell">
    <xdr:from>
      <xdr:col>9</xdr:col>
      <xdr:colOff>104775</xdr:colOff>
      <xdr:row>0</xdr:row>
      <xdr:rowOff>0</xdr:rowOff>
    </xdr:from>
    <xdr:to>
      <xdr:col>10</xdr:col>
      <xdr:colOff>882134</xdr:colOff>
      <xdr:row>2</xdr:row>
      <xdr:rowOff>165100</xdr:rowOff>
    </xdr:to>
    <xdr:pic>
      <xdr:nvPicPr>
        <xdr:cNvPr id="7"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91825" y="0"/>
          <a:ext cx="1863209" cy="56515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8"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76963"/>
        </a:xfrm>
        <a:prstGeom prst="rect">
          <a:avLst/>
        </a:prstGeom>
      </xdr:spPr>
    </xdr:pic>
    <xdr:clientData/>
  </xdr:twoCellAnchor>
  <xdr:twoCellAnchor editAs="oneCell">
    <xdr:from>
      <xdr:col>22</xdr:col>
      <xdr:colOff>0</xdr:colOff>
      <xdr:row>0</xdr:row>
      <xdr:rowOff>31750</xdr:rowOff>
    </xdr:from>
    <xdr:to>
      <xdr:col>24</xdr:col>
      <xdr:colOff>81860</xdr:colOff>
      <xdr:row>2</xdr:row>
      <xdr:rowOff>175683</xdr:rowOff>
    </xdr:to>
    <xdr:pic>
      <xdr:nvPicPr>
        <xdr:cNvPr id="9"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936825" y="31750"/>
          <a:ext cx="1605860" cy="543983"/>
        </a:xfrm>
        <a:prstGeom prst="rect">
          <a:avLst/>
        </a:prstGeom>
      </xdr:spPr>
    </xdr:pic>
    <xdr:clientData/>
  </xdr:twoCellAnchor>
  <xdr:twoCellAnchor editAs="oneCell">
    <xdr:from>
      <xdr:col>22</xdr:col>
      <xdr:colOff>0</xdr:colOff>
      <xdr:row>0</xdr:row>
      <xdr:rowOff>28575</xdr:rowOff>
    </xdr:from>
    <xdr:to>
      <xdr:col>22</xdr:col>
      <xdr:colOff>581025</xdr:colOff>
      <xdr:row>3</xdr:row>
      <xdr:rowOff>105463</xdr:rowOff>
    </xdr:to>
    <xdr:pic>
      <xdr:nvPicPr>
        <xdr:cNvPr id="10"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936825" y="28575"/>
          <a:ext cx="581025" cy="676963"/>
        </a:xfrm>
        <a:prstGeom prst="rect">
          <a:avLst/>
        </a:prstGeom>
      </xdr:spPr>
    </xdr:pic>
    <xdr:clientData/>
  </xdr:twoCellAnchor>
  <xdr:oneCellAnchor>
    <xdr:from>
      <xdr:col>21</xdr:col>
      <xdr:colOff>1756833</xdr:colOff>
      <xdr:row>0</xdr:row>
      <xdr:rowOff>31750</xdr:rowOff>
    </xdr:from>
    <xdr:ext cx="1598084" cy="546100"/>
    <xdr:pic>
      <xdr:nvPicPr>
        <xdr:cNvPr id="11"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007233" y="31750"/>
          <a:ext cx="1598084" cy="5461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70</xdr:row>
      <xdr:rowOff>14286</xdr:rowOff>
    </xdr:from>
    <xdr:to>
      <xdr:col>8</xdr:col>
      <xdr:colOff>895351</xdr:colOff>
      <xdr:row>88</xdr:row>
      <xdr:rowOff>76199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838199</xdr:colOff>
      <xdr:row>89</xdr:row>
      <xdr:rowOff>109536</xdr:rowOff>
    </xdr:from>
    <xdr:to>
      <xdr:col>9</xdr:col>
      <xdr:colOff>333374</xdr:colOff>
      <xdr:row>105</xdr:row>
      <xdr:rowOff>114299</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533400</xdr:colOff>
      <xdr:row>0</xdr:row>
      <xdr:rowOff>71437</xdr:rowOff>
    </xdr:from>
    <xdr:to>
      <xdr:col>26</xdr:col>
      <xdr:colOff>704850</xdr:colOff>
      <xdr:row>17</xdr:row>
      <xdr:rowOff>95250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18</xdr:row>
      <xdr:rowOff>0</xdr:rowOff>
    </xdr:from>
    <xdr:to>
      <xdr:col>27</xdr:col>
      <xdr:colOff>171450</xdr:colOff>
      <xdr:row>35</xdr:row>
      <xdr:rowOff>23813</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36</xdr:row>
      <xdr:rowOff>0</xdr:rowOff>
    </xdr:from>
    <xdr:to>
      <xdr:col>27</xdr:col>
      <xdr:colOff>171450</xdr:colOff>
      <xdr:row>53</xdr:row>
      <xdr:rowOff>14288</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0</xdr:colOff>
      <xdr:row>55</xdr:row>
      <xdr:rowOff>0</xdr:rowOff>
    </xdr:from>
    <xdr:to>
      <xdr:col>27</xdr:col>
      <xdr:colOff>171450</xdr:colOff>
      <xdr:row>72</xdr:row>
      <xdr:rowOff>14288</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0</xdr:colOff>
      <xdr:row>73</xdr:row>
      <xdr:rowOff>0</xdr:rowOff>
    </xdr:from>
    <xdr:to>
      <xdr:col>27</xdr:col>
      <xdr:colOff>171450</xdr:colOff>
      <xdr:row>90</xdr:row>
      <xdr:rowOff>33338</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35</xdr:row>
      <xdr:rowOff>23812</xdr:rowOff>
    </xdr:from>
    <xdr:to>
      <xdr:col>7</xdr:col>
      <xdr:colOff>66675</xdr:colOff>
      <xdr:row>49</xdr:row>
      <xdr:rowOff>71437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57</xdr:col>
      <xdr:colOff>523875</xdr:colOff>
      <xdr:row>30</xdr:row>
      <xdr:rowOff>176212</xdr:rowOff>
    </xdr:from>
    <xdr:to>
      <xdr:col>63</xdr:col>
      <xdr:colOff>523875</xdr:colOff>
      <xdr:row>31</xdr:row>
      <xdr:rowOff>0</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43</xdr:row>
      <xdr:rowOff>90487</xdr:rowOff>
    </xdr:from>
    <xdr:to>
      <xdr:col>6</xdr:col>
      <xdr:colOff>371475</xdr:colOff>
      <xdr:row>57</xdr:row>
      <xdr:rowOff>157162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38098</xdr:colOff>
      <xdr:row>42</xdr:row>
      <xdr:rowOff>4762</xdr:rowOff>
    </xdr:from>
    <xdr:to>
      <xdr:col>7</xdr:col>
      <xdr:colOff>9524</xdr:colOff>
      <xdr:row>56</xdr:row>
      <xdr:rowOff>71437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1704975</xdr:colOff>
      <xdr:row>32</xdr:row>
      <xdr:rowOff>0</xdr:rowOff>
    </xdr:from>
    <xdr:to>
      <xdr:col>2</xdr:col>
      <xdr:colOff>1885950</xdr:colOff>
      <xdr:row>32</xdr:row>
      <xdr:rowOff>266700</xdr:rowOff>
    </xdr:to>
    <xdr:sp macro="" textlink="">
      <xdr:nvSpPr>
        <xdr:cNvPr id="2" name="Cuadro de texto 12"/>
        <xdr:cNvSpPr txBox="1"/>
      </xdr:nvSpPr>
      <xdr:spPr>
        <a:xfrm>
          <a:off x="3566795" y="46647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idy%20Rocio%20Murillo/Downloads/ES-PLA-FO-04%20SEGUIMIENTO%20AL%20PLAN%20DE%20DESARROLLO%20TERCER%20TIRMESTR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Informe%20de%20Oct-Dic%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 val="Hoja1"/>
    </sheetNames>
    <sheetDataSet>
      <sheetData sheetId="0"/>
      <sheetData sheetId="1"/>
      <sheetData sheetId="2"/>
      <sheetData sheetId="3"/>
      <sheetData sheetId="4"/>
      <sheetData sheetId="5"/>
      <sheetData sheetId="6">
        <row r="102">
          <cell r="C102" t="str">
            <v>SB-PY1.1</v>
          </cell>
          <cell r="D102" t="str">
            <v>Prestación servicio médico a estudiantes en las Sedes</v>
          </cell>
          <cell r="E102">
            <v>301</v>
          </cell>
        </row>
        <row r="103">
          <cell r="C103" t="str">
            <v>SB-PY1.2</v>
          </cell>
          <cell r="D103" t="str">
            <v>Prestación servicio odontólogico a estudiantes en las Sedes</v>
          </cell>
          <cell r="E103">
            <v>301</v>
          </cell>
        </row>
        <row r="104">
          <cell r="C104" t="str">
            <v>SB-PY1.3</v>
          </cell>
          <cell r="D104" t="str">
            <v>Prestación servicio Psicológico a estudiantes en las Sedes</v>
          </cell>
          <cell r="E104">
            <v>301</v>
          </cell>
        </row>
        <row r="105">
          <cell r="C105" t="str">
            <v>SB-PY1.4</v>
          </cell>
          <cell r="D105" t="str">
            <v>Apoyo a actividades de clima organizacional, docentes, estudiantes y administrativos en las Sedes.</v>
          </cell>
          <cell r="E105">
            <v>301</v>
          </cell>
        </row>
        <row r="106">
          <cell r="C106" t="str">
            <v>SB-PY1.5</v>
          </cell>
          <cell r="D106" t="str">
            <v>Atención apersonas en drogadicción, prostitución y E.T.V.  en las Sedes.</v>
          </cell>
          <cell r="E106">
            <v>301</v>
          </cell>
        </row>
        <row r="107">
          <cell r="C107" t="str">
            <v>SB-PY1.6</v>
          </cell>
          <cell r="D107" t="str">
            <v>USCO saludable.</v>
          </cell>
          <cell r="E107">
            <v>301</v>
          </cell>
        </row>
        <row r="108">
          <cell r="C108" t="str">
            <v>SB-PY1.7</v>
          </cell>
          <cell r="D108" t="str">
            <v>Proyecto de Inclusión y atención de la población con diversidad funcional en la USCO.</v>
          </cell>
          <cell r="E108">
            <v>301</v>
          </cell>
        </row>
        <row r="110">
          <cell r="C110" t="str">
            <v>SB-PY2.1</v>
          </cell>
          <cell r="D110" t="str">
            <v>Actividades deportivas de todas las Sedes.</v>
          </cell>
          <cell r="E110">
            <v>301</v>
          </cell>
        </row>
        <row r="112">
          <cell r="C112" t="str">
            <v>SB-PY3.1</v>
          </cell>
        </row>
        <row r="115">
          <cell r="D115" t="str">
            <v xml:space="preserve"> Apoyo a actividades de clima organizacional, docentes, estudiantes y administrativos en las Sedes</v>
          </cell>
          <cell r="E115">
            <v>301</v>
          </cell>
        </row>
        <row r="116">
          <cell r="D116" t="str">
            <v>Eventos convivencia, integración y reconocimiento</v>
          </cell>
        </row>
        <row r="117">
          <cell r="C117" t="str">
            <v>SB-PY5.1</v>
          </cell>
        </row>
        <row r="118">
          <cell r="D118" t="str">
            <v>Meriendas Pitalito</v>
          </cell>
        </row>
        <row r="119">
          <cell r="D119" t="str">
            <v>Meriendas Garzón</v>
          </cell>
        </row>
        <row r="120">
          <cell r="D120" t="str">
            <v>Meriendas La Plata</v>
          </cell>
        </row>
        <row r="121">
          <cell r="C121" t="str">
            <v>SB-PY5.2</v>
          </cell>
          <cell r="D121" t="str">
            <v>Atención a población estudiantil en situación de extrema vulnerabilidad en las Sedes.</v>
          </cell>
          <cell r="E121">
            <v>301</v>
          </cell>
        </row>
        <row r="122">
          <cell r="C122" t="str">
            <v>SB-PY5.3</v>
          </cell>
          <cell r="D122" t="str">
            <v>Vinculación de estudiantes en procesos institucionales.</v>
          </cell>
          <cell r="E122">
            <v>301</v>
          </cell>
        </row>
        <row r="123">
          <cell r="E123">
            <v>301</v>
          </cell>
        </row>
        <row r="124">
          <cell r="W124">
            <v>3060839833</v>
          </cell>
          <cell r="X124">
            <v>1515071504</v>
          </cell>
          <cell r="Y124">
            <v>1545768329</v>
          </cell>
        </row>
      </sheetData>
      <sheetData sheetId="7"/>
      <sheetData sheetId="8"/>
      <sheetData sheetId="9"/>
      <sheetData sheetId="10"/>
      <sheetData sheetId="11"/>
      <sheetData sheetId="12"/>
      <sheetData sheetId="13"/>
      <sheetData sheetId="14"/>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EGUIMIENTO"/>
      <sheetName val="S. FORMACION"/>
      <sheetName val="S. PROY. SOCIAL "/>
      <sheetName val="S. INVESTIGACIÓN"/>
      <sheetName val="S. BIENESTAR"/>
      <sheetName val="S. ADMINISTRATIVO"/>
      <sheetName val="Ejecución $"/>
      <sheetName val="Asignación"/>
      <sheetName val="BIENESTAR"/>
      <sheetName val="PROPYECCION SOCIAL"/>
      <sheetName val="INVESTIGACIÓN"/>
      <sheetName val="FORMACIÓN"/>
      <sheetName val="ADMINISTRATIVO"/>
      <sheetName val="Plan desarroollo"/>
    </sheetNames>
    <sheetDataSet>
      <sheetData sheetId="0"/>
      <sheetData sheetId="1">
        <row r="125">
          <cell r="C125" t="str">
            <v>SA-PY 1.1</v>
          </cell>
          <cell r="D125" t="str">
            <v>Apoyo a la movilidad académica de docentes, estudiantes y personal administrativo y expertos invitados.</v>
          </cell>
          <cell r="E125">
            <v>510</v>
          </cell>
        </row>
        <row r="126">
          <cell r="C126" t="str">
            <v>SA-PY1.2</v>
          </cell>
          <cell r="D126" t="str">
            <v>Realización de dos eventos para la socialización del Proyecto de actualización del Manual de Convivencia Estudiantíl. Proceso Acreditación.</v>
          </cell>
          <cell r="E126">
            <v>510</v>
          </cell>
        </row>
        <row r="127">
          <cell r="C127" t="str">
            <v>SA-PY1.3</v>
          </cell>
          <cell r="D127" t="str">
            <v>Realización de dos eventos para la socialización del Proyecto del Estatuto Docente. Proceso Acreditación.</v>
          </cell>
          <cell r="E127">
            <v>510</v>
          </cell>
        </row>
        <row r="128">
          <cell r="C128" t="str">
            <v>SA-PY2a.1</v>
          </cell>
          <cell r="D128" t="str">
            <v>Construcción de infraestructura física en todas las Sedes.</v>
          </cell>
          <cell r="E128">
            <v>111</v>
          </cell>
        </row>
        <row r="129">
          <cell r="C129" t="str">
            <v>SA-PY2a.2</v>
          </cell>
          <cell r="D129" t="str">
            <v>Adecuaciones, mantenimientos y mejoras en infraestructura de todas las sedes.</v>
          </cell>
          <cell r="E129">
            <v>111</v>
          </cell>
        </row>
        <row r="130">
          <cell r="C130" t="str">
            <v>SA-PY2a.3</v>
          </cell>
          <cell r="D130" t="str">
            <v>Avalúos, estudios y diseños de obras civiles varias.</v>
          </cell>
          <cell r="E130">
            <v>111</v>
          </cell>
        </row>
        <row r="131">
          <cell r="C131" t="str">
            <v>SA-PY2b.1</v>
          </cell>
          <cell r="D131" t="str">
            <v>Dotación de equipos, accesorios, reactivos e insumos para  laboratorios de todas las Sedes.</v>
          </cell>
          <cell r="E131">
            <v>211</v>
          </cell>
        </row>
        <row r="132">
          <cell r="C132" t="str">
            <v>SA-PY2b.2</v>
          </cell>
          <cell r="D132" t="str">
            <v>Dotación de muebles y equipos de oficinas para todas las Sedes.</v>
          </cell>
          <cell r="E132">
            <v>211</v>
          </cell>
        </row>
        <row r="133">
          <cell r="C133" t="str">
            <v>SA-PY2b.3</v>
          </cell>
          <cell r="D133" t="str">
            <v>Adquisición bibliografía.</v>
          </cell>
          <cell r="E133">
            <v>211</v>
          </cell>
        </row>
        <row r="134">
          <cell r="C134" t="str">
            <v>SA-PY2b.4</v>
          </cell>
          <cell r="D134" t="str">
            <v xml:space="preserve"> Mantenimiento de Equipos de Laboratorio,  Muebles, accesorios y equipos de Oficina de todas las sedes.</v>
          </cell>
          <cell r="E134">
            <v>211</v>
          </cell>
        </row>
        <row r="135">
          <cell r="C135" t="str">
            <v>SA-PY2b.5</v>
          </cell>
          <cell r="D135" t="str">
            <v>Dotación de elementos de aseo y cafetería.</v>
          </cell>
          <cell r="E135">
            <v>211</v>
          </cell>
        </row>
        <row r="136">
          <cell r="C136" t="str">
            <v>SA-PY2b.6</v>
          </cell>
          <cell r="D136" t="str">
            <v>Dotación, renovación de Software y licencias.</v>
          </cell>
          <cell r="E136">
            <v>211</v>
          </cell>
        </row>
        <row r="137">
          <cell r="C137" t="str">
            <v>SA-PY2b.7</v>
          </cell>
          <cell r="D137" t="str">
            <v>Contratación personal para mantenimiento CTIC.</v>
          </cell>
          <cell r="E137">
            <v>211</v>
          </cell>
        </row>
        <row r="138">
          <cell r="C138" t="str">
            <v>SA-PY2c.1</v>
          </cell>
          <cell r="D138" t="str">
            <v xml:space="preserve">Implementación  plataforma LCMS en la Usco para aumentar la tasa de cobertura bruta en la educación superior en el Departamento del Huila”, </v>
          </cell>
          <cell r="E138" t="str">
            <v>520-2</v>
          </cell>
        </row>
        <row r="139">
          <cell r="C139" t="str">
            <v>SA-PY3.1</v>
          </cell>
          <cell r="D139" t="str">
            <v>Desarrollo de las actividades Gestión Ambiental y  vinculación personal del Proyecto.</v>
          </cell>
          <cell r="E139">
            <v>510</v>
          </cell>
        </row>
        <row r="140">
          <cell r="C140" t="str">
            <v>SA-PY3.2</v>
          </cell>
          <cell r="D140" t="str">
            <v>Actualización y desarrollo del Sistema de Gestión de Calidad con el Plan de Desarrollo y vinculación personal del Proyecto.</v>
          </cell>
          <cell r="E140">
            <v>510</v>
          </cell>
        </row>
        <row r="141">
          <cell r="C141" t="str">
            <v>SA-PY3.3</v>
          </cell>
          <cell r="D141" t="str">
            <v>Afiliación y Auditoría de seguimiento de la Certificación ISO 9001:2008 NTCGP 1000:2009.</v>
          </cell>
          <cell r="E141">
            <v>510</v>
          </cell>
        </row>
        <row r="142">
          <cell r="C142" t="str">
            <v>SA-PY3.4</v>
          </cell>
          <cell r="D142" t="str">
            <v xml:space="preserve"> Gestión de la estructura academico-administrativa y financiera.</v>
          </cell>
          <cell r="E142">
            <v>510</v>
          </cell>
        </row>
        <row r="143">
          <cell r="C143" t="str">
            <v>SA-PY5.1</v>
          </cell>
          <cell r="D143" t="str">
            <v>Elaboración de estudio de factibilidad ténico-financiero de la modernización académico administrativa.</v>
          </cell>
          <cell r="E143">
            <v>510</v>
          </cell>
        </row>
        <row r="144">
          <cell r="C144" t="str">
            <v>SA-PY7.1</v>
          </cell>
          <cell r="D144" t="str">
            <v>Ejecución Plan de Capacitación para el personal Administrativo y de Trabajadores Oficiales.</v>
          </cell>
          <cell r="E144">
            <v>310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centrodeemprendiemiento@usco.edu.co"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63"/>
  <sheetViews>
    <sheetView topLeftCell="A37" workbookViewId="0">
      <selection activeCell="C69" sqref="C69"/>
    </sheetView>
  </sheetViews>
  <sheetFormatPr baseColWidth="10" defaultRowHeight="15" x14ac:dyDescent="0.25"/>
  <cols>
    <col min="2" max="2" width="14.28515625" customWidth="1"/>
    <col min="3" max="3" width="21" customWidth="1"/>
    <col min="4" max="4" width="18.28515625" customWidth="1"/>
  </cols>
  <sheetData>
    <row r="4" spans="2:4" ht="15.75" x14ac:dyDescent="0.25">
      <c r="B4" s="66" t="s">
        <v>389</v>
      </c>
      <c r="C4" s="66" t="s">
        <v>390</v>
      </c>
      <c r="D4" s="66" t="s">
        <v>391</v>
      </c>
    </row>
    <row r="5" spans="2:4" x14ac:dyDescent="0.25">
      <c r="B5" s="396"/>
      <c r="C5" s="403" t="s">
        <v>392</v>
      </c>
      <c r="D5" s="399" t="s">
        <v>393</v>
      </c>
    </row>
    <row r="6" spans="2:4" x14ac:dyDescent="0.25">
      <c r="B6" s="397"/>
      <c r="C6" s="403"/>
      <c r="D6" s="400"/>
    </row>
    <row r="7" spans="2:4" x14ac:dyDescent="0.25">
      <c r="B7" s="398"/>
      <c r="C7" s="403"/>
      <c r="D7" s="401"/>
    </row>
    <row r="8" spans="2:4" x14ac:dyDescent="0.25">
      <c r="B8" s="396"/>
      <c r="C8" s="402" t="s">
        <v>394</v>
      </c>
      <c r="D8" s="399" t="s">
        <v>395</v>
      </c>
    </row>
    <row r="9" spans="2:4" x14ac:dyDescent="0.25">
      <c r="B9" s="397"/>
      <c r="C9" s="402"/>
      <c r="D9" s="400"/>
    </row>
    <row r="10" spans="2:4" x14ac:dyDescent="0.25">
      <c r="B10" s="398"/>
      <c r="C10" s="402"/>
      <c r="D10" s="401"/>
    </row>
    <row r="11" spans="2:4" ht="21.75" customHeight="1" x14ac:dyDescent="0.25">
      <c r="B11" s="396"/>
      <c r="C11" s="399" t="s">
        <v>396</v>
      </c>
      <c r="D11" s="399" t="s">
        <v>397</v>
      </c>
    </row>
    <row r="12" spans="2:4" ht="21.75" customHeight="1" x14ac:dyDescent="0.25">
      <c r="B12" s="397"/>
      <c r="C12" s="400"/>
      <c r="D12" s="400"/>
    </row>
    <row r="13" spans="2:4" ht="21.75" customHeight="1" x14ac:dyDescent="0.25">
      <c r="B13" s="398"/>
      <c r="C13" s="401"/>
      <c r="D13" s="401"/>
    </row>
    <row r="14" spans="2:4" ht="21" customHeight="1" x14ac:dyDescent="0.25">
      <c r="B14" s="396"/>
      <c r="C14" s="402" t="s">
        <v>398</v>
      </c>
      <c r="D14" s="399" t="s">
        <v>399</v>
      </c>
    </row>
    <row r="15" spans="2:4" ht="21" customHeight="1" x14ac:dyDescent="0.25">
      <c r="B15" s="397"/>
      <c r="C15" s="402"/>
      <c r="D15" s="400"/>
    </row>
    <row r="16" spans="2:4" ht="21" customHeight="1" x14ac:dyDescent="0.25">
      <c r="B16" s="398"/>
      <c r="C16" s="402"/>
      <c r="D16" s="401"/>
    </row>
    <row r="18" spans="2:4" ht="15.75" x14ac:dyDescent="0.25">
      <c r="B18" s="66" t="s">
        <v>389</v>
      </c>
      <c r="C18" s="66" t="s">
        <v>390</v>
      </c>
      <c r="D18" s="66" t="s">
        <v>391</v>
      </c>
    </row>
    <row r="19" spans="2:4" x14ac:dyDescent="0.25">
      <c r="B19" s="396"/>
      <c r="C19" s="403" t="s">
        <v>559</v>
      </c>
      <c r="D19" s="399" t="s">
        <v>393</v>
      </c>
    </row>
    <row r="20" spans="2:4" x14ac:dyDescent="0.25">
      <c r="B20" s="397"/>
      <c r="C20" s="403"/>
      <c r="D20" s="400"/>
    </row>
    <row r="21" spans="2:4" x14ac:dyDescent="0.25">
      <c r="B21" s="398"/>
      <c r="C21" s="403"/>
      <c r="D21" s="401"/>
    </row>
    <row r="22" spans="2:4" x14ac:dyDescent="0.25">
      <c r="B22" s="396"/>
      <c r="C22" s="402" t="s">
        <v>560</v>
      </c>
      <c r="D22" s="399" t="s">
        <v>395</v>
      </c>
    </row>
    <row r="23" spans="2:4" x14ac:dyDescent="0.25">
      <c r="B23" s="397"/>
      <c r="C23" s="402"/>
      <c r="D23" s="400"/>
    </row>
    <row r="24" spans="2:4" x14ac:dyDescent="0.25">
      <c r="B24" s="398"/>
      <c r="C24" s="402"/>
      <c r="D24" s="401"/>
    </row>
    <row r="25" spans="2:4" x14ac:dyDescent="0.25">
      <c r="B25" s="396"/>
      <c r="C25" s="399" t="s">
        <v>561</v>
      </c>
      <c r="D25" s="399" t="s">
        <v>397</v>
      </c>
    </row>
    <row r="26" spans="2:4" x14ac:dyDescent="0.25">
      <c r="B26" s="397"/>
      <c r="C26" s="400"/>
      <c r="D26" s="400"/>
    </row>
    <row r="27" spans="2:4" x14ac:dyDescent="0.25">
      <c r="B27" s="398"/>
      <c r="C27" s="401"/>
      <c r="D27" s="401"/>
    </row>
    <row r="28" spans="2:4" x14ac:dyDescent="0.25">
      <c r="B28" s="396"/>
      <c r="C28" s="402" t="s">
        <v>562</v>
      </c>
      <c r="D28" s="399" t="s">
        <v>399</v>
      </c>
    </row>
    <row r="29" spans="2:4" x14ac:dyDescent="0.25">
      <c r="B29" s="397"/>
      <c r="C29" s="402"/>
      <c r="D29" s="400"/>
    </row>
    <row r="30" spans="2:4" x14ac:dyDescent="0.25">
      <c r="B30" s="398"/>
      <c r="C30" s="402"/>
      <c r="D30" s="401"/>
    </row>
    <row r="33" spans="2:4" ht="15.75" x14ac:dyDescent="0.25">
      <c r="B33" s="66" t="s">
        <v>389</v>
      </c>
      <c r="C33" s="66" t="s">
        <v>390</v>
      </c>
      <c r="D33" s="66" t="s">
        <v>391</v>
      </c>
    </row>
    <row r="34" spans="2:4" x14ac:dyDescent="0.25">
      <c r="B34" s="396"/>
      <c r="C34" s="394" t="s">
        <v>563</v>
      </c>
      <c r="D34" s="399" t="s">
        <v>393</v>
      </c>
    </row>
    <row r="35" spans="2:4" x14ac:dyDescent="0.25">
      <c r="B35" s="397"/>
      <c r="C35" s="394"/>
      <c r="D35" s="400"/>
    </row>
    <row r="36" spans="2:4" x14ac:dyDescent="0.25">
      <c r="B36" s="398"/>
      <c r="C36" s="394"/>
      <c r="D36" s="401"/>
    </row>
    <row r="37" spans="2:4" x14ac:dyDescent="0.25">
      <c r="B37" s="396"/>
      <c r="C37" s="395" t="s">
        <v>564</v>
      </c>
      <c r="D37" s="399" t="s">
        <v>395</v>
      </c>
    </row>
    <row r="38" spans="2:4" x14ac:dyDescent="0.25">
      <c r="B38" s="397"/>
      <c r="C38" s="395"/>
      <c r="D38" s="400"/>
    </row>
    <row r="39" spans="2:4" x14ac:dyDescent="0.25">
      <c r="B39" s="398"/>
      <c r="C39" s="395"/>
      <c r="D39" s="401"/>
    </row>
    <row r="40" spans="2:4" x14ac:dyDescent="0.25">
      <c r="B40" s="396"/>
      <c r="C40" s="395" t="s">
        <v>565</v>
      </c>
      <c r="D40" s="399" t="s">
        <v>397</v>
      </c>
    </row>
    <row r="41" spans="2:4" x14ac:dyDescent="0.25">
      <c r="B41" s="397"/>
      <c r="C41" s="395"/>
      <c r="D41" s="400"/>
    </row>
    <row r="42" spans="2:4" x14ac:dyDescent="0.25">
      <c r="B42" s="398"/>
      <c r="C42" s="395"/>
      <c r="D42" s="401"/>
    </row>
    <row r="43" spans="2:4" x14ac:dyDescent="0.25">
      <c r="B43" s="396"/>
      <c r="C43" s="395" t="s">
        <v>566</v>
      </c>
      <c r="D43" s="399" t="s">
        <v>399</v>
      </c>
    </row>
    <row r="44" spans="2:4" x14ac:dyDescent="0.25">
      <c r="B44" s="397"/>
      <c r="C44" s="395"/>
      <c r="D44" s="400"/>
    </row>
    <row r="45" spans="2:4" x14ac:dyDescent="0.25">
      <c r="B45" s="398"/>
      <c r="C45" s="395"/>
      <c r="D45" s="401"/>
    </row>
    <row r="48" spans="2:4" x14ac:dyDescent="0.25">
      <c r="B48" s="136" t="s">
        <v>389</v>
      </c>
      <c r="C48" s="136" t="s">
        <v>390</v>
      </c>
      <c r="D48" s="136" t="s">
        <v>391</v>
      </c>
    </row>
    <row r="49" spans="2:4" x14ac:dyDescent="0.25">
      <c r="B49" s="394"/>
      <c r="C49" s="394" t="s">
        <v>567</v>
      </c>
      <c r="D49" s="395" t="s">
        <v>393</v>
      </c>
    </row>
    <row r="50" spans="2:4" x14ac:dyDescent="0.25">
      <c r="B50" s="394"/>
      <c r="C50" s="394"/>
      <c r="D50" s="395"/>
    </row>
    <row r="51" spans="2:4" x14ac:dyDescent="0.25">
      <c r="B51" s="394"/>
      <c r="C51" s="394"/>
      <c r="D51" s="395"/>
    </row>
    <row r="52" spans="2:4" ht="18.75" customHeight="1" x14ac:dyDescent="0.25">
      <c r="B52" s="394"/>
      <c r="C52" s="395" t="s">
        <v>568</v>
      </c>
      <c r="D52" s="395" t="s">
        <v>395</v>
      </c>
    </row>
    <row r="53" spans="2:4" ht="18.75" customHeight="1" x14ac:dyDescent="0.25">
      <c r="B53" s="394"/>
      <c r="C53" s="395"/>
      <c r="D53" s="395"/>
    </row>
    <row r="54" spans="2:4" ht="18.75" customHeight="1" x14ac:dyDescent="0.25">
      <c r="B54" s="394"/>
      <c r="C54" s="395"/>
      <c r="D54" s="395"/>
    </row>
    <row r="55" spans="2:4" ht="17.25" customHeight="1" x14ac:dyDescent="0.25">
      <c r="B55" s="394"/>
      <c r="C55" s="395" t="s">
        <v>569</v>
      </c>
      <c r="D55" s="395" t="s">
        <v>397</v>
      </c>
    </row>
    <row r="56" spans="2:4" ht="17.25" customHeight="1" x14ac:dyDescent="0.25">
      <c r="B56" s="394"/>
      <c r="C56" s="395"/>
      <c r="D56" s="395"/>
    </row>
    <row r="57" spans="2:4" ht="17.25" customHeight="1" x14ac:dyDescent="0.25">
      <c r="B57" s="394"/>
      <c r="C57" s="395"/>
      <c r="D57" s="395"/>
    </row>
    <row r="58" spans="2:4" ht="17.25" customHeight="1" x14ac:dyDescent="0.25">
      <c r="B58" s="394"/>
      <c r="C58" s="395" t="s">
        <v>570</v>
      </c>
      <c r="D58" s="395" t="s">
        <v>399</v>
      </c>
    </row>
    <row r="59" spans="2:4" ht="17.25" customHeight="1" x14ac:dyDescent="0.25">
      <c r="B59" s="394"/>
      <c r="C59" s="395"/>
      <c r="D59" s="395"/>
    </row>
    <row r="60" spans="2:4" ht="17.25" customHeight="1" x14ac:dyDescent="0.25">
      <c r="B60" s="394"/>
      <c r="C60" s="395"/>
      <c r="D60" s="395"/>
    </row>
    <row r="61" spans="2:4" ht="18.75" customHeight="1" x14ac:dyDescent="0.25">
      <c r="B61" s="394"/>
      <c r="C61" s="394" t="s">
        <v>571</v>
      </c>
      <c r="D61" s="395" t="s">
        <v>572</v>
      </c>
    </row>
    <row r="62" spans="2:4" ht="18.75" customHeight="1" x14ac:dyDescent="0.25">
      <c r="B62" s="394"/>
      <c r="C62" s="394"/>
      <c r="D62" s="395"/>
    </row>
    <row r="63" spans="2:4" ht="18.75" customHeight="1" x14ac:dyDescent="0.25">
      <c r="B63" s="394"/>
      <c r="C63" s="394"/>
      <c r="D63" s="395"/>
    </row>
  </sheetData>
  <mergeCells count="51">
    <mergeCell ref="B11:B13"/>
    <mergeCell ref="C11:C13"/>
    <mergeCell ref="D11:D13"/>
    <mergeCell ref="B14:B16"/>
    <mergeCell ref="C14:C16"/>
    <mergeCell ref="D14:D16"/>
    <mergeCell ref="B5:B7"/>
    <mergeCell ref="C5:C7"/>
    <mergeCell ref="D5:D7"/>
    <mergeCell ref="B8:B10"/>
    <mergeCell ref="C8:C10"/>
    <mergeCell ref="D8:D10"/>
    <mergeCell ref="B19:B21"/>
    <mergeCell ref="C19:C21"/>
    <mergeCell ref="D19:D21"/>
    <mergeCell ref="B22:B24"/>
    <mergeCell ref="C22:C24"/>
    <mergeCell ref="D22:D24"/>
    <mergeCell ref="B25:B27"/>
    <mergeCell ref="C25:C27"/>
    <mergeCell ref="D25:D27"/>
    <mergeCell ref="B28:B30"/>
    <mergeCell ref="C28:C30"/>
    <mergeCell ref="D28:D30"/>
    <mergeCell ref="B34:B36"/>
    <mergeCell ref="C34:C36"/>
    <mergeCell ref="D34:D36"/>
    <mergeCell ref="B37:B39"/>
    <mergeCell ref="C37:C39"/>
    <mergeCell ref="D37:D39"/>
    <mergeCell ref="B40:B42"/>
    <mergeCell ref="C40:C42"/>
    <mergeCell ref="D40:D42"/>
    <mergeCell ref="B43:B45"/>
    <mergeCell ref="C43:C45"/>
    <mergeCell ref="D43:D45"/>
    <mergeCell ref="B49:B51"/>
    <mergeCell ref="C49:C51"/>
    <mergeCell ref="D49:D51"/>
    <mergeCell ref="B52:B54"/>
    <mergeCell ref="C52:C54"/>
    <mergeCell ref="D52:D54"/>
    <mergeCell ref="B61:B63"/>
    <mergeCell ref="C61:C63"/>
    <mergeCell ref="D61:D63"/>
    <mergeCell ref="B55:B57"/>
    <mergeCell ref="C55:C57"/>
    <mergeCell ref="D55:D57"/>
    <mergeCell ref="B58:B60"/>
    <mergeCell ref="C58:C60"/>
    <mergeCell ref="D58:D6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U57"/>
  <sheetViews>
    <sheetView topLeftCell="A25" workbookViewId="0">
      <selection activeCell="D31" sqref="D31"/>
    </sheetView>
  </sheetViews>
  <sheetFormatPr baseColWidth="10" defaultRowHeight="15" x14ac:dyDescent="0.25"/>
  <cols>
    <col min="1" max="1" width="33.85546875" customWidth="1"/>
    <col min="2" max="2" width="17.5703125" customWidth="1"/>
    <col min="4" max="4" width="13" customWidth="1"/>
    <col min="8" max="8" width="13.42578125" customWidth="1"/>
    <col min="18" max="18" width="12.7109375" bestFit="1" customWidth="1"/>
    <col min="19" max="19" width="16.28515625" customWidth="1"/>
  </cols>
  <sheetData>
    <row r="6" spans="1:21" ht="19.5" x14ac:dyDescent="0.3">
      <c r="A6" s="556" t="s">
        <v>386</v>
      </c>
      <c r="B6" s="556"/>
      <c r="C6" s="556"/>
      <c r="D6" s="556"/>
      <c r="E6" s="556"/>
      <c r="F6" s="556"/>
    </row>
    <row r="7" spans="1:21" ht="45" x14ac:dyDescent="0.25">
      <c r="A7" s="135" t="s">
        <v>377</v>
      </c>
      <c r="B7" s="137" t="s">
        <v>378</v>
      </c>
      <c r="C7" s="135" t="s">
        <v>379</v>
      </c>
      <c r="D7" s="137" t="s">
        <v>380</v>
      </c>
      <c r="E7" s="137" t="s">
        <v>381</v>
      </c>
      <c r="F7" s="137" t="s">
        <v>382</v>
      </c>
      <c r="J7" s="55"/>
      <c r="K7" s="55"/>
      <c r="L7" s="55" t="s">
        <v>579</v>
      </c>
      <c r="M7" s="55" t="s">
        <v>580</v>
      </c>
      <c r="N7" s="55" t="s">
        <v>581</v>
      </c>
      <c r="O7" s="55" t="s">
        <v>582</v>
      </c>
      <c r="P7" s="55" t="s">
        <v>583</v>
      </c>
      <c r="Q7" s="55"/>
      <c r="R7" s="138" t="s">
        <v>584</v>
      </c>
      <c r="S7" s="138" t="s">
        <v>585</v>
      </c>
      <c r="T7" s="55"/>
    </row>
    <row r="8" spans="1:21" ht="15.75" customHeight="1" x14ac:dyDescent="0.25">
      <c r="A8" s="408" t="str">
        <f>'S. PROY. SOCIAL '!B4</f>
        <v>SP-PY1.2</v>
      </c>
      <c r="B8" s="246">
        <v>0.15</v>
      </c>
      <c r="C8" s="1" t="s">
        <v>189</v>
      </c>
      <c r="D8" s="245" t="e">
        <f>'S. PROY. SOCIAL '!#REF!</f>
        <v>#REF!</v>
      </c>
      <c r="E8" s="550" t="e">
        <f>B8*Q8</f>
        <v>#DIV/0!</v>
      </c>
      <c r="F8" s="553">
        <f>T8</f>
        <v>0</v>
      </c>
      <c r="J8" s="56" t="e">
        <f>IF(D8&lt;16%,"Rojo",IF(D8&lt;37%,"Amarillo",IF(D8&lt;50.1%,"Verde","Azul")))</f>
        <v>#REF!</v>
      </c>
      <c r="K8" s="56" t="s">
        <v>573</v>
      </c>
      <c r="L8" s="56">
        <f>COUNTIF($J$8:$J$9,"Rojo")</f>
        <v>0</v>
      </c>
      <c r="M8" s="56">
        <f>COUNTIF($J$8:$J$9,"Amarillo")</f>
        <v>0</v>
      </c>
      <c r="N8" s="56">
        <f>COUNTIF($J$8:$J$9,"Verde")</f>
        <v>0</v>
      </c>
      <c r="O8" s="56">
        <f>COUNTIF($J$8:$J$9,"Azul")</f>
        <v>0</v>
      </c>
      <c r="P8" s="56">
        <f>SUM(L8:O8)</f>
        <v>0</v>
      </c>
      <c r="Q8" s="140" t="e">
        <f t="shared" ref="Q8:Q15" si="0">((100/P8)*SUM(M8:O8)/100)</f>
        <v>#DIV/0!</v>
      </c>
      <c r="R8" s="139" t="e">
        <f>'S. PROY. SOCIAL '!#REF!+'S. PROY. SOCIAL '!#REF!</f>
        <v>#REF!</v>
      </c>
      <c r="S8" s="139" t="e">
        <f>'S. PROY. SOCIAL '!#REF!+'S. PROY. SOCIAL '!#REF!</f>
        <v>#REF!</v>
      </c>
      <c r="T8" s="141">
        <f>IFERROR(S8/R8,0)</f>
        <v>0</v>
      </c>
      <c r="U8" s="56" t="s">
        <v>573</v>
      </c>
    </row>
    <row r="9" spans="1:21" x14ac:dyDescent="0.25">
      <c r="A9" s="410"/>
      <c r="B9" s="240"/>
      <c r="C9" s="1" t="s">
        <v>191</v>
      </c>
      <c r="D9" s="245" t="e">
        <f>'S. PROY. SOCIAL '!#REF!</f>
        <v>#REF!</v>
      </c>
      <c r="E9" s="552"/>
      <c r="F9" s="555"/>
      <c r="J9" s="56" t="e">
        <f t="shared" ref="J9:J27" si="1">IF(D9&lt;16%,"Rojo",IF(D9&lt;37%,"Amarillo",IF(D9&lt;50.1%,"Verde","Azul")))</f>
        <v>#REF!</v>
      </c>
      <c r="K9" s="56" t="s">
        <v>574</v>
      </c>
      <c r="L9" s="56">
        <f>COUNTIF($J$10,"Rojo")</f>
        <v>0</v>
      </c>
      <c r="M9" s="56">
        <f>COUNTIF($J$10,"Amarillo")</f>
        <v>0</v>
      </c>
      <c r="N9" s="56">
        <f>COUNTIF($J$10,"Verde")</f>
        <v>0</v>
      </c>
      <c r="O9" s="56">
        <f>COUNTIF($J$10,"Azul")</f>
        <v>0</v>
      </c>
      <c r="P9" s="56">
        <f t="shared" ref="P9:P14" si="2">SUM(L9:O9)</f>
        <v>0</v>
      </c>
      <c r="Q9" s="140" t="e">
        <f t="shared" si="0"/>
        <v>#DIV/0!</v>
      </c>
      <c r="R9" s="139" t="e">
        <f>'S. PROY. SOCIAL '!#REF!</f>
        <v>#REF!</v>
      </c>
      <c r="S9" s="139" t="e">
        <f>'S. PROY. SOCIAL '!#REF!</f>
        <v>#REF!</v>
      </c>
      <c r="T9" s="141">
        <f t="shared" ref="T9:T15" si="3">IFERROR(S9/R9,0)</f>
        <v>0</v>
      </c>
      <c r="U9" s="56" t="s">
        <v>574</v>
      </c>
    </row>
    <row r="10" spans="1:21" x14ac:dyDescent="0.25">
      <c r="A10" s="2" t="str">
        <f>'S. PROY. SOCIAL '!B7</f>
        <v>SP-PY3.1</v>
      </c>
      <c r="B10" s="72">
        <v>0.15</v>
      </c>
      <c r="C10" s="1" t="s">
        <v>198</v>
      </c>
      <c r="D10" s="245" t="e">
        <f>'S. PROY. SOCIAL '!#REF!</f>
        <v>#REF!</v>
      </c>
      <c r="E10" s="163" t="e">
        <f>B10*Q9</f>
        <v>#DIV/0!</v>
      </c>
      <c r="F10" s="142">
        <f>T9</f>
        <v>0</v>
      </c>
      <c r="J10" s="56" t="e">
        <f t="shared" si="1"/>
        <v>#REF!</v>
      </c>
      <c r="K10" s="56" t="s">
        <v>575</v>
      </c>
      <c r="L10" s="56">
        <f>COUNTIF($J$11:$J$16,"Rojo")</f>
        <v>0</v>
      </c>
      <c r="M10" s="56">
        <f>COUNTIF($J$11:$J$16,"Amarillo")</f>
        <v>0</v>
      </c>
      <c r="N10" s="56">
        <f>COUNTIF($J$11:$J$16,"Verde")</f>
        <v>0</v>
      </c>
      <c r="O10" s="56">
        <f>COUNTIF($J$11:$J$16,"Azul")</f>
        <v>0</v>
      </c>
      <c r="P10" s="56">
        <f t="shared" si="2"/>
        <v>0</v>
      </c>
      <c r="Q10" s="140" t="e">
        <f t="shared" si="0"/>
        <v>#DIV/0!</v>
      </c>
      <c r="R10" s="139" t="e">
        <f>'S. PROY. SOCIAL '!#REF!+'S. PROY. SOCIAL '!#REF!+'S. PROY. SOCIAL '!#REF!+'S. PROY. SOCIAL '!#REF!+'S. PROY. SOCIAL '!#REF!+'S. PROY. SOCIAL '!#REF!</f>
        <v>#REF!</v>
      </c>
      <c r="S10" s="139" t="e">
        <f>'S. PROY. SOCIAL '!#REF!+'S. PROY. SOCIAL '!#REF!+'S. PROY. SOCIAL '!#REF!+'S. PROY. SOCIAL '!#REF!+'S. PROY. SOCIAL '!#REF!+'S. PROY. SOCIAL '!#REF!</f>
        <v>#REF!</v>
      </c>
      <c r="T10" s="141">
        <f t="shared" si="3"/>
        <v>0</v>
      </c>
      <c r="U10" s="56" t="s">
        <v>575</v>
      </c>
    </row>
    <row r="11" spans="1:21" ht="14.25" customHeight="1" x14ac:dyDescent="0.25">
      <c r="A11" s="563" t="str">
        <f>'S. PROY. SOCIAL '!B8</f>
        <v>SP-PY3.2</v>
      </c>
      <c r="B11" s="562">
        <v>0.2</v>
      </c>
      <c r="C11" s="1" t="s">
        <v>201</v>
      </c>
      <c r="D11" s="245" t="e">
        <f>'S. PROY. SOCIAL '!#REF!</f>
        <v>#REF!</v>
      </c>
      <c r="E11" s="560" t="e">
        <f>B11*Q10</f>
        <v>#DIV/0!</v>
      </c>
      <c r="F11" s="561">
        <f>T10</f>
        <v>0</v>
      </c>
      <c r="J11" s="56" t="e">
        <f t="shared" si="1"/>
        <v>#REF!</v>
      </c>
      <c r="K11" s="56" t="s">
        <v>576</v>
      </c>
      <c r="L11" s="56">
        <f>COUNTIF($J$11,"Rojo")</f>
        <v>0</v>
      </c>
      <c r="M11" s="56">
        <f>COUNTIF($J$17,"Amarillo")</f>
        <v>0</v>
      </c>
      <c r="N11" s="56">
        <f>COUNTIF($J$17,"Verde")</f>
        <v>0</v>
      </c>
      <c r="O11" s="56">
        <f>COUNTIF($J$17,"Azul")</f>
        <v>0</v>
      </c>
      <c r="P11" s="56">
        <f t="shared" si="2"/>
        <v>0</v>
      </c>
      <c r="Q11" s="140" t="e">
        <f t="shared" si="0"/>
        <v>#DIV/0!</v>
      </c>
      <c r="R11" s="139" t="e">
        <f>'S. PROY. SOCIAL '!#REF!</f>
        <v>#REF!</v>
      </c>
      <c r="S11" s="139" t="e">
        <f>'S. PROY. SOCIAL '!#REF!</f>
        <v>#REF!</v>
      </c>
      <c r="T11" s="141">
        <f t="shared" si="3"/>
        <v>0</v>
      </c>
      <c r="U11" s="56" t="s">
        <v>576</v>
      </c>
    </row>
    <row r="12" spans="1:21" ht="18.75" customHeight="1" x14ac:dyDescent="0.25">
      <c r="A12" s="563"/>
      <c r="B12" s="562"/>
      <c r="C12" s="1" t="s">
        <v>204</v>
      </c>
      <c r="D12" s="245" t="e">
        <f>'S. PROY. SOCIAL '!#REF!</f>
        <v>#REF!</v>
      </c>
      <c r="E12" s="560"/>
      <c r="F12" s="561"/>
      <c r="J12" s="56" t="e">
        <f t="shared" si="1"/>
        <v>#REF!</v>
      </c>
      <c r="K12" s="56" t="s">
        <v>577</v>
      </c>
      <c r="L12" s="56">
        <f>COUNTIF($J$18:$J$20,"Rojo")</f>
        <v>0</v>
      </c>
      <c r="M12" s="56">
        <f>COUNTIF($J$18:$J$20,"Amarillo")</f>
        <v>0</v>
      </c>
      <c r="N12" s="56">
        <f>COUNTIF($J$18:$J$20,"Verde")</f>
        <v>0</v>
      </c>
      <c r="O12" s="56">
        <f>COUNTIF($J$18:$J$20,"Azul")</f>
        <v>0</v>
      </c>
      <c r="P12" s="56">
        <f t="shared" si="2"/>
        <v>0</v>
      </c>
      <c r="Q12" s="140" t="e">
        <f t="shared" si="0"/>
        <v>#DIV/0!</v>
      </c>
      <c r="R12" s="139" t="e">
        <f>'S. PROY. SOCIAL '!#REF!+'S. PROY. SOCIAL '!#REF!+'S. PROY. SOCIAL '!#REF!</f>
        <v>#REF!</v>
      </c>
      <c r="S12" s="139" t="e">
        <f>'S. PROY. SOCIAL '!#REF!+'S. PROY. SOCIAL '!#REF!+'S. PROY. SOCIAL '!#REF!</f>
        <v>#REF!</v>
      </c>
      <c r="T12" s="141">
        <f t="shared" si="3"/>
        <v>0</v>
      </c>
      <c r="U12" s="56" t="s">
        <v>577</v>
      </c>
    </row>
    <row r="13" spans="1:21" ht="27" customHeight="1" x14ac:dyDescent="0.25">
      <c r="A13" s="563"/>
      <c r="B13" s="562"/>
      <c r="C13" s="1" t="s">
        <v>206</v>
      </c>
      <c r="D13" s="245" t="e">
        <f>'S. PROY. SOCIAL '!#REF!</f>
        <v>#REF!</v>
      </c>
      <c r="E13" s="560"/>
      <c r="F13" s="561"/>
      <c r="J13" s="56" t="e">
        <f t="shared" si="1"/>
        <v>#REF!</v>
      </c>
      <c r="K13" s="56" t="s">
        <v>586</v>
      </c>
      <c r="L13" s="56">
        <f>COUNTIF($J$21,"Rojo")</f>
        <v>0</v>
      </c>
      <c r="M13" s="56">
        <f>COUNTIF($J$21,"Amarillo")</f>
        <v>0</v>
      </c>
      <c r="N13" s="56">
        <f>COUNTIF($J$21,"Verde")</f>
        <v>0</v>
      </c>
      <c r="O13" s="56">
        <f>COUNTIF($J$21,"Azul")</f>
        <v>0</v>
      </c>
      <c r="P13" s="56">
        <f t="shared" si="2"/>
        <v>0</v>
      </c>
      <c r="Q13" s="140" t="e">
        <f t="shared" si="0"/>
        <v>#DIV/0!</v>
      </c>
      <c r="R13" s="139" t="e">
        <f>'S. PROY. SOCIAL '!#REF!</f>
        <v>#REF!</v>
      </c>
      <c r="S13" s="139" t="e">
        <f>'S. PROY. SOCIAL '!#REF!</f>
        <v>#REF!</v>
      </c>
      <c r="T13" s="141">
        <f t="shared" si="3"/>
        <v>0</v>
      </c>
      <c r="U13" s="56" t="s">
        <v>586</v>
      </c>
    </row>
    <row r="14" spans="1:21" x14ac:dyDescent="0.25">
      <c r="A14" s="563"/>
      <c r="B14" s="562"/>
      <c r="C14" s="1" t="s">
        <v>209</v>
      </c>
      <c r="D14" s="245" t="e">
        <f>'S. PROY. SOCIAL '!#REF!</f>
        <v>#REF!</v>
      </c>
      <c r="E14" s="560"/>
      <c r="F14" s="561"/>
      <c r="J14" s="56" t="e">
        <f t="shared" si="1"/>
        <v>#REF!</v>
      </c>
      <c r="K14" s="56" t="s">
        <v>578</v>
      </c>
      <c r="L14" s="56">
        <f>COUNTIF($J$22:$J$23,"Rojo")</f>
        <v>0</v>
      </c>
      <c r="M14" s="56">
        <f>COUNTIF($J$22:$J$23,"Amarillo")</f>
        <v>0</v>
      </c>
      <c r="N14" s="56">
        <f>COUNTIF($J$22:$J$23,"Verde")</f>
        <v>0</v>
      </c>
      <c r="O14" s="56">
        <f>COUNTIF($J$22:$J$23,"Azul")</f>
        <v>0</v>
      </c>
      <c r="P14" s="56">
        <f t="shared" si="2"/>
        <v>0</v>
      </c>
      <c r="Q14" s="140" t="e">
        <f t="shared" si="0"/>
        <v>#DIV/0!</v>
      </c>
      <c r="R14" s="139" t="e">
        <f>'S. PROY. SOCIAL '!#REF!+'S. PROY. SOCIAL '!#REF!</f>
        <v>#REF!</v>
      </c>
      <c r="S14" s="139" t="e">
        <f>'S. PROY. SOCIAL '!#REF!+'S. PROY. SOCIAL '!#REF!</f>
        <v>#REF!</v>
      </c>
      <c r="T14" s="141">
        <f t="shared" si="3"/>
        <v>0</v>
      </c>
      <c r="U14" s="56" t="s">
        <v>578</v>
      </c>
    </row>
    <row r="15" spans="1:21" ht="15.75" customHeight="1" x14ac:dyDescent="0.25">
      <c r="A15" s="563"/>
      <c r="B15" s="562"/>
      <c r="C15" s="1" t="s">
        <v>211</v>
      </c>
      <c r="D15" s="245" t="e">
        <f>'S. PROY. SOCIAL '!#REF!</f>
        <v>#REF!</v>
      </c>
      <c r="E15" s="560"/>
      <c r="F15" s="561"/>
      <c r="J15" s="56" t="e">
        <f t="shared" si="1"/>
        <v>#REF!</v>
      </c>
      <c r="K15" s="56" t="s">
        <v>590</v>
      </c>
      <c r="L15" s="56">
        <f>COUNTIF($J$24:$J$25,"Rojo")</f>
        <v>0</v>
      </c>
      <c r="M15" s="56">
        <f>COUNTIF($J$24:$J$25,"Amarillo")</f>
        <v>0</v>
      </c>
      <c r="N15" s="56">
        <f>COUNTIF($J$24:$J$25,"Verde")</f>
        <v>0</v>
      </c>
      <c r="O15" s="56">
        <f>COUNTIF($J$24:$J$25,"Azul")</f>
        <v>0</v>
      </c>
      <c r="P15" s="56">
        <f t="shared" ref="P15" si="4">SUM(L15:O15)</f>
        <v>0</v>
      </c>
      <c r="Q15" s="140" t="e">
        <f t="shared" si="0"/>
        <v>#DIV/0!</v>
      </c>
      <c r="R15" s="139" t="e">
        <f>'S. PROY. SOCIAL '!#REF!+'S. PROY. SOCIAL '!#REF!+'S. PROY. SOCIAL '!#REF!</f>
        <v>#REF!</v>
      </c>
      <c r="S15" s="139" t="e">
        <f>'S. PROY. SOCIAL '!#REF!+'S. PROY. SOCIAL '!#REF!+'S. PROY. SOCIAL '!#REF!</f>
        <v>#REF!</v>
      </c>
      <c r="T15" s="141">
        <f t="shared" si="3"/>
        <v>0</v>
      </c>
      <c r="U15" s="56" t="s">
        <v>590</v>
      </c>
    </row>
    <row r="16" spans="1:21" ht="15.75" customHeight="1" x14ac:dyDescent="0.25">
      <c r="A16" s="563"/>
      <c r="B16" s="562"/>
      <c r="C16" s="1" t="s">
        <v>213</v>
      </c>
      <c r="D16" s="245" t="e">
        <f>'S. PROY. SOCIAL '!#REF!</f>
        <v>#REF!</v>
      </c>
      <c r="E16" s="560"/>
      <c r="F16" s="561"/>
      <c r="J16" s="56" t="e">
        <f t="shared" si="1"/>
        <v>#REF!</v>
      </c>
      <c r="K16" s="56"/>
      <c r="L16" s="56"/>
      <c r="M16" s="56"/>
      <c r="N16" s="56"/>
      <c r="O16" s="56"/>
      <c r="P16" s="56"/>
      <c r="Q16" s="56"/>
      <c r="R16" s="56"/>
      <c r="S16" s="56"/>
      <c r="T16" s="56"/>
    </row>
    <row r="17" spans="1:20" ht="15.75" customHeight="1" x14ac:dyDescent="0.25">
      <c r="A17" s="164" t="str">
        <f>'S. PROY. SOCIAL '!B16</f>
        <v>SP-PY5.3</v>
      </c>
      <c r="B17" s="72">
        <v>0.05</v>
      </c>
      <c r="C17" s="1" t="s">
        <v>220</v>
      </c>
      <c r="D17" s="245" t="e">
        <f>'S. PROY. SOCIAL '!#REF!</f>
        <v>#REF!</v>
      </c>
      <c r="E17" s="163" t="e">
        <f>B17*Q11</f>
        <v>#DIV/0!</v>
      </c>
      <c r="F17" s="142">
        <f>T11</f>
        <v>0</v>
      </c>
      <c r="J17" s="56" t="e">
        <f t="shared" si="1"/>
        <v>#REF!</v>
      </c>
      <c r="K17" s="56"/>
      <c r="L17" s="56"/>
      <c r="M17" s="56"/>
      <c r="N17" s="56"/>
      <c r="O17" s="56"/>
      <c r="P17" s="56"/>
      <c r="Q17" s="56"/>
      <c r="R17" s="56"/>
      <c r="S17" s="56"/>
      <c r="T17" s="56"/>
    </row>
    <row r="18" spans="1:20" ht="20.25" customHeight="1" x14ac:dyDescent="0.25">
      <c r="A18" s="565" t="str">
        <f>'S. PROY. SOCIAL '!B22</f>
        <v>SP-PY8.3</v>
      </c>
      <c r="B18" s="562">
        <v>0.15</v>
      </c>
      <c r="C18" s="1" t="s">
        <v>223</v>
      </c>
      <c r="D18" s="245" t="e">
        <f>'S. PROY. SOCIAL '!#REF!</f>
        <v>#REF!</v>
      </c>
      <c r="E18" s="560" t="e">
        <f>B18*Q12</f>
        <v>#DIV/0!</v>
      </c>
      <c r="F18" s="561">
        <f>T12</f>
        <v>0</v>
      </c>
      <c r="J18" s="56" t="e">
        <f t="shared" si="1"/>
        <v>#REF!</v>
      </c>
      <c r="K18" s="56"/>
      <c r="L18" s="56"/>
      <c r="M18" s="56"/>
      <c r="N18" s="56"/>
      <c r="O18" s="56"/>
      <c r="P18" s="56"/>
      <c r="Q18" s="56"/>
      <c r="R18" s="56"/>
      <c r="S18" s="56"/>
      <c r="T18" s="56"/>
    </row>
    <row r="19" spans="1:20" ht="20.25" customHeight="1" x14ac:dyDescent="0.25">
      <c r="A19" s="565"/>
      <c r="B19" s="411"/>
      <c r="C19" s="1" t="s">
        <v>225</v>
      </c>
      <c r="D19" s="245" t="e">
        <f>'S. PROY. SOCIAL '!#REF!</f>
        <v>#REF!</v>
      </c>
      <c r="E19" s="560"/>
      <c r="F19" s="394"/>
      <c r="J19" s="56" t="e">
        <f t="shared" si="1"/>
        <v>#REF!</v>
      </c>
      <c r="K19" s="56"/>
      <c r="L19" s="56"/>
      <c r="M19" s="56"/>
      <c r="N19" s="56"/>
      <c r="O19" s="56"/>
      <c r="P19" s="56"/>
      <c r="Q19" s="56"/>
      <c r="R19" s="56"/>
      <c r="S19" s="56"/>
      <c r="T19" s="56"/>
    </row>
    <row r="20" spans="1:20" ht="20.25" customHeight="1" x14ac:dyDescent="0.25">
      <c r="A20" s="565"/>
      <c r="B20" s="411"/>
      <c r="C20" s="1" t="s">
        <v>369</v>
      </c>
      <c r="D20" s="245" t="e">
        <f>'S. PROY. SOCIAL '!#REF!</f>
        <v>#REF!</v>
      </c>
      <c r="E20" s="560"/>
      <c r="F20" s="394"/>
      <c r="J20" s="56" t="e">
        <f t="shared" si="1"/>
        <v>#REF!</v>
      </c>
      <c r="K20" s="56"/>
      <c r="L20" s="56"/>
      <c r="M20" s="56"/>
      <c r="N20" s="56"/>
      <c r="O20" s="56"/>
      <c r="P20" s="56"/>
      <c r="Q20" s="56"/>
      <c r="R20" s="56"/>
      <c r="S20" s="56"/>
      <c r="T20" s="56"/>
    </row>
    <row r="21" spans="1:20" ht="15" customHeight="1" x14ac:dyDescent="0.25">
      <c r="A21" s="69">
        <f>'S. PROY. SOCIAL '!B25</f>
        <v>0</v>
      </c>
      <c r="B21" s="72">
        <v>0.1</v>
      </c>
      <c r="C21" s="1" t="s">
        <v>228</v>
      </c>
      <c r="D21" s="245" t="e">
        <f>'S. PROY. SOCIAL '!#REF!</f>
        <v>#REF!</v>
      </c>
      <c r="E21" s="50" t="e">
        <f>B21*Q13</f>
        <v>#DIV/0!</v>
      </c>
      <c r="F21" s="142">
        <f>T13</f>
        <v>0</v>
      </c>
      <c r="J21" s="56" t="e">
        <f t="shared" si="1"/>
        <v>#REF!</v>
      </c>
      <c r="K21" s="56"/>
      <c r="L21" s="56"/>
      <c r="M21" s="56"/>
      <c r="N21" s="56"/>
      <c r="O21" s="56"/>
      <c r="P21" s="56"/>
      <c r="Q21" s="56"/>
      <c r="R21" s="56"/>
      <c r="S21" s="56"/>
      <c r="T21" s="56"/>
    </row>
    <row r="22" spans="1:20" ht="30" customHeight="1" x14ac:dyDescent="0.25">
      <c r="A22" s="406">
        <f>'S. PROY. SOCIAL '!B29</f>
        <v>0</v>
      </c>
      <c r="B22" s="562">
        <v>0.1</v>
      </c>
      <c r="C22" s="1" t="s">
        <v>236</v>
      </c>
      <c r="D22" s="245" t="e">
        <f>'S. PROY. SOCIAL '!#REF!</f>
        <v>#REF!</v>
      </c>
      <c r="E22" s="564" t="e">
        <f>B22*Q14</f>
        <v>#DIV/0!</v>
      </c>
      <c r="F22" s="561">
        <f>T14</f>
        <v>0</v>
      </c>
      <c r="J22" s="56" t="e">
        <f t="shared" si="1"/>
        <v>#REF!</v>
      </c>
      <c r="K22" s="56"/>
      <c r="L22" s="56"/>
      <c r="M22" s="56"/>
      <c r="N22" s="56"/>
      <c r="O22" s="56"/>
      <c r="P22" s="56"/>
      <c r="Q22" s="56"/>
      <c r="R22" s="56"/>
      <c r="S22" s="56"/>
      <c r="T22" s="56"/>
    </row>
    <row r="23" spans="1:20" ht="21" customHeight="1" x14ac:dyDescent="0.25">
      <c r="A23" s="406"/>
      <c r="B23" s="411"/>
      <c r="C23" s="1" t="s">
        <v>238</v>
      </c>
      <c r="D23" s="245" t="e">
        <f>'S. PROY. SOCIAL '!#REF!</f>
        <v>#REF!</v>
      </c>
      <c r="E23" s="564"/>
      <c r="F23" s="394"/>
      <c r="J23" s="56" t="e">
        <f t="shared" si="1"/>
        <v>#REF!</v>
      </c>
      <c r="K23" s="56"/>
      <c r="L23" s="56"/>
      <c r="M23" s="56"/>
      <c r="N23" s="56"/>
      <c r="O23" s="56"/>
      <c r="P23" s="56"/>
      <c r="Q23" s="56"/>
      <c r="R23" s="56"/>
      <c r="S23" s="56"/>
      <c r="T23" s="56"/>
    </row>
    <row r="24" spans="1:20" ht="25.5" customHeight="1" x14ac:dyDescent="0.25">
      <c r="A24" s="565" t="s">
        <v>163</v>
      </c>
      <c r="B24" s="562">
        <v>0.1</v>
      </c>
      <c r="C24" s="1" t="s">
        <v>244</v>
      </c>
      <c r="D24" s="245" t="e">
        <f>'S. PROY. SOCIAL '!#REF!</f>
        <v>#REF!</v>
      </c>
      <c r="E24" s="560" t="e">
        <f>B24*Q15</f>
        <v>#DIV/0!</v>
      </c>
      <c r="F24" s="561">
        <f>T15</f>
        <v>0</v>
      </c>
      <c r="J24" s="56" t="e">
        <f t="shared" si="1"/>
        <v>#REF!</v>
      </c>
      <c r="K24" s="56"/>
      <c r="L24" s="56"/>
      <c r="M24" s="56"/>
      <c r="N24" s="56"/>
      <c r="O24" s="56"/>
      <c r="P24" s="56"/>
      <c r="Q24" s="56"/>
      <c r="R24" s="56"/>
      <c r="S24" s="56"/>
      <c r="T24" s="56"/>
    </row>
    <row r="25" spans="1:20" ht="15" customHeight="1" x14ac:dyDescent="0.25">
      <c r="A25" s="565"/>
      <c r="B25" s="562"/>
      <c r="C25" s="1" t="s">
        <v>246</v>
      </c>
      <c r="D25" s="245" t="e">
        <f>'S. PROY. SOCIAL '!#REF!</f>
        <v>#REF!</v>
      </c>
      <c r="E25" s="560"/>
      <c r="F25" s="561"/>
      <c r="J25" s="56" t="e">
        <f t="shared" si="1"/>
        <v>#REF!</v>
      </c>
      <c r="K25" s="56"/>
      <c r="L25" s="56"/>
      <c r="M25" s="56"/>
      <c r="N25" s="56"/>
      <c r="O25" s="56"/>
      <c r="P25" s="56"/>
      <c r="Q25" s="56"/>
      <c r="R25" s="56"/>
      <c r="S25" s="56"/>
      <c r="T25" s="56"/>
    </row>
    <row r="26" spans="1:20" x14ac:dyDescent="0.25">
      <c r="A26" s="565"/>
      <c r="B26" s="562"/>
      <c r="C26" s="1" t="s">
        <v>248</v>
      </c>
      <c r="D26" s="245" t="e">
        <f>'S. PROY. SOCIAL '!#REF!</f>
        <v>#REF!</v>
      </c>
      <c r="E26" s="560"/>
      <c r="F26" s="561"/>
      <c r="J26" s="56" t="e">
        <f t="shared" si="1"/>
        <v>#REF!</v>
      </c>
      <c r="K26" s="56"/>
      <c r="L26" s="56"/>
      <c r="M26" s="56"/>
      <c r="N26" s="56"/>
      <c r="O26" s="56"/>
      <c r="P26" s="56"/>
      <c r="Q26" s="56"/>
      <c r="R26" s="56"/>
      <c r="S26" s="56"/>
      <c r="T26" s="56"/>
    </row>
    <row r="27" spans="1:20" ht="15" customHeight="1" x14ac:dyDescent="0.25">
      <c r="A27" s="543" t="s">
        <v>387</v>
      </c>
      <c r="B27" s="543"/>
      <c r="C27" s="543"/>
      <c r="D27" s="543"/>
      <c r="E27" s="152" t="e">
        <f>(SUM(E8:E26)/8)</f>
        <v>#DIV/0!</v>
      </c>
      <c r="F27" s="143">
        <f>SUM(F8:F26)/8</f>
        <v>0</v>
      </c>
      <c r="J27" s="56" t="str">
        <f t="shared" si="1"/>
        <v>Rojo</v>
      </c>
    </row>
    <row r="28" spans="1:20" ht="15" customHeight="1" x14ac:dyDescent="0.25">
      <c r="J28" s="56"/>
    </row>
    <row r="29" spans="1:20" ht="30" x14ac:dyDescent="0.25">
      <c r="A29" s="175" t="s">
        <v>377</v>
      </c>
      <c r="B29" s="175" t="s">
        <v>593</v>
      </c>
      <c r="C29" s="175" t="s">
        <v>595</v>
      </c>
      <c r="D29" s="175" t="s">
        <v>7</v>
      </c>
      <c r="J29" s="56"/>
    </row>
    <row r="30" spans="1:20" x14ac:dyDescent="0.25">
      <c r="A30" s="252" t="str">
        <f>A8</f>
        <v>SP-PY1.2</v>
      </c>
      <c r="B30" s="183" t="e">
        <f t="shared" ref="B30:B37" si="5">Q8</f>
        <v>#DIV/0!</v>
      </c>
      <c r="C30" s="183">
        <f>F8</f>
        <v>0</v>
      </c>
      <c r="D30" s="183" t="e">
        <f>(B30+C30)/2</f>
        <v>#DIV/0!</v>
      </c>
      <c r="J30" s="56"/>
    </row>
    <row r="31" spans="1:20" x14ac:dyDescent="0.25">
      <c r="A31" s="252" t="str">
        <f>A10</f>
        <v>SP-PY3.1</v>
      </c>
      <c r="B31" s="245" t="e">
        <f t="shared" si="5"/>
        <v>#DIV/0!</v>
      </c>
      <c r="C31" s="183">
        <f>F10</f>
        <v>0</v>
      </c>
      <c r="D31" s="183" t="e">
        <f t="shared" ref="D31:D37" si="6">(B31+C31)/2</f>
        <v>#DIV/0!</v>
      </c>
      <c r="J31" s="56"/>
    </row>
    <row r="32" spans="1:20" x14ac:dyDescent="0.25">
      <c r="A32" s="252" t="str">
        <f>A11</f>
        <v>SP-PY3.2</v>
      </c>
      <c r="B32" s="245" t="e">
        <f t="shared" si="5"/>
        <v>#DIV/0!</v>
      </c>
      <c r="C32" s="183">
        <f>F11</f>
        <v>0</v>
      </c>
      <c r="D32" s="183" t="e">
        <f t="shared" si="6"/>
        <v>#DIV/0!</v>
      </c>
      <c r="J32" s="56"/>
    </row>
    <row r="33" spans="1:10" x14ac:dyDescent="0.25">
      <c r="A33" s="252" t="str">
        <f>A17</f>
        <v>SP-PY5.3</v>
      </c>
      <c r="B33" s="245" t="e">
        <f t="shared" si="5"/>
        <v>#DIV/0!</v>
      </c>
      <c r="C33" s="183">
        <f>F17</f>
        <v>0</v>
      </c>
      <c r="D33" s="183" t="e">
        <f t="shared" si="6"/>
        <v>#DIV/0!</v>
      </c>
      <c r="J33" s="56"/>
    </row>
    <row r="34" spans="1:10" x14ac:dyDescent="0.25">
      <c r="A34" s="252" t="str">
        <f>A18</f>
        <v>SP-PY8.3</v>
      </c>
      <c r="B34" s="245" t="e">
        <f t="shared" si="5"/>
        <v>#DIV/0!</v>
      </c>
      <c r="C34" s="183">
        <f>F18</f>
        <v>0</v>
      </c>
      <c r="D34" s="183" t="e">
        <f t="shared" si="6"/>
        <v>#DIV/0!</v>
      </c>
      <c r="J34" s="56"/>
    </row>
    <row r="35" spans="1:10" x14ac:dyDescent="0.25">
      <c r="A35" s="252">
        <f>A21</f>
        <v>0</v>
      </c>
      <c r="B35" s="245" t="e">
        <f t="shared" si="5"/>
        <v>#DIV/0!</v>
      </c>
      <c r="C35" s="183">
        <f>F21</f>
        <v>0</v>
      </c>
      <c r="D35" s="183" t="e">
        <f t="shared" si="6"/>
        <v>#DIV/0!</v>
      </c>
      <c r="J35" s="56"/>
    </row>
    <row r="36" spans="1:10" x14ac:dyDescent="0.25">
      <c r="A36" s="252">
        <f>A22</f>
        <v>0</v>
      </c>
      <c r="B36" s="245" t="e">
        <f t="shared" si="5"/>
        <v>#DIV/0!</v>
      </c>
      <c r="C36" s="183">
        <f>F22</f>
        <v>0</v>
      </c>
      <c r="D36" s="183" t="e">
        <f t="shared" si="6"/>
        <v>#DIV/0!</v>
      </c>
      <c r="J36" s="56"/>
    </row>
    <row r="37" spans="1:10" ht="60" x14ac:dyDescent="0.25">
      <c r="A37" s="252" t="str">
        <f>A24</f>
        <v>SI-PY8.  Creación y Fortalecimiento de Centros, Institutos de investigación, desarrollo y vigilancia Tecnológica e Innovación.</v>
      </c>
      <c r="B37" s="245" t="e">
        <f t="shared" si="5"/>
        <v>#DIV/0!</v>
      </c>
      <c r="C37" s="183">
        <f>F24</f>
        <v>0</v>
      </c>
      <c r="D37" s="183" t="e">
        <f t="shared" si="6"/>
        <v>#DIV/0!</v>
      </c>
      <c r="J37" s="56"/>
    </row>
    <row r="38" spans="1:10" x14ac:dyDescent="0.25">
      <c r="A38" s="177" t="s">
        <v>592</v>
      </c>
      <c r="B38" s="178" t="e">
        <f>AVERAGE(B30:B37)</f>
        <v>#DIV/0!</v>
      </c>
      <c r="C38" s="178">
        <f>AVERAGE(C30:C37)</f>
        <v>0</v>
      </c>
      <c r="D38" s="178" t="e">
        <f>AVERAGE(D30:D37)</f>
        <v>#DIV/0!</v>
      </c>
      <c r="J38" s="56"/>
    </row>
    <row r="39" spans="1:10" x14ac:dyDescent="0.25">
      <c r="J39" s="56"/>
    </row>
    <row r="40" spans="1:10" x14ac:dyDescent="0.25">
      <c r="J40" s="56"/>
    </row>
    <row r="41" spans="1:10" ht="60" customHeight="1" x14ac:dyDescent="0.25">
      <c r="J41" s="56"/>
    </row>
    <row r="42" spans="1:10" x14ac:dyDescent="0.25">
      <c r="J42" s="56"/>
    </row>
    <row r="43" spans="1:10" ht="15" customHeight="1" x14ac:dyDescent="0.25">
      <c r="J43" s="56"/>
    </row>
    <row r="44" spans="1:10" x14ac:dyDescent="0.25">
      <c r="J44" s="56"/>
    </row>
    <row r="45" spans="1:10" ht="15" customHeight="1" x14ac:dyDescent="0.25">
      <c r="J45" s="56"/>
    </row>
    <row r="46" spans="1:10" x14ac:dyDescent="0.25">
      <c r="J46" s="56"/>
    </row>
    <row r="47" spans="1:10" ht="15" customHeight="1" x14ac:dyDescent="0.25">
      <c r="J47" s="56"/>
    </row>
    <row r="48" spans="1:10" x14ac:dyDescent="0.25">
      <c r="J48" s="56"/>
    </row>
    <row r="49" spans="1:10" x14ac:dyDescent="0.25">
      <c r="J49" s="56"/>
    </row>
    <row r="50" spans="1:10" x14ac:dyDescent="0.25">
      <c r="J50" s="56"/>
    </row>
    <row r="51" spans="1:10" ht="15" customHeight="1" x14ac:dyDescent="0.25">
      <c r="J51" s="56"/>
    </row>
    <row r="52" spans="1:10" x14ac:dyDescent="0.25">
      <c r="J52" s="56"/>
    </row>
    <row r="53" spans="1:10" ht="15" customHeight="1" x14ac:dyDescent="0.25">
      <c r="J53" s="56"/>
    </row>
    <row r="54" spans="1:10" x14ac:dyDescent="0.25">
      <c r="A54" s="179"/>
      <c r="B54" s="179"/>
      <c r="C54" s="179"/>
      <c r="D54" s="179"/>
      <c r="E54" s="180"/>
      <c r="J54" s="56"/>
    </row>
    <row r="55" spans="1:10" ht="15" customHeight="1" x14ac:dyDescent="0.25">
      <c r="J55" s="56"/>
    </row>
    <row r="57" spans="1:10" ht="15" customHeight="1" x14ac:dyDescent="0.25"/>
  </sheetData>
  <mergeCells count="21">
    <mergeCell ref="A6:F6"/>
    <mergeCell ref="A8:A9"/>
    <mergeCell ref="E8:E9"/>
    <mergeCell ref="F8:F9"/>
    <mergeCell ref="E18:E20"/>
    <mergeCell ref="F18:F20"/>
    <mergeCell ref="E24:E26"/>
    <mergeCell ref="F24:F26"/>
    <mergeCell ref="A27:D27"/>
    <mergeCell ref="B11:B16"/>
    <mergeCell ref="A11:A16"/>
    <mergeCell ref="E11:E16"/>
    <mergeCell ref="F11:F16"/>
    <mergeCell ref="A22:A23"/>
    <mergeCell ref="B22:B23"/>
    <mergeCell ref="E22:E23"/>
    <mergeCell ref="F22:F23"/>
    <mergeCell ref="B24:B26"/>
    <mergeCell ref="A24:A26"/>
    <mergeCell ref="A18:A20"/>
    <mergeCell ref="B18:B20"/>
  </mergeCells>
  <conditionalFormatting sqref="D8:D26">
    <cfRule type="cellIs" dxfId="359" priority="165" operator="greaterThan">
      <formula>50%</formula>
    </cfRule>
    <cfRule type="cellIs" dxfId="358" priority="166" operator="between">
      <formula>37.1%</formula>
      <formula>50%</formula>
    </cfRule>
    <cfRule type="cellIs" dxfId="357" priority="167" operator="between">
      <formula>16%</formula>
      <formula>37%</formula>
    </cfRule>
    <cfRule type="cellIs" dxfId="356" priority="168" operator="lessThan">
      <formula>16%</formula>
    </cfRule>
  </conditionalFormatting>
  <conditionalFormatting sqref="B30:D37">
    <cfRule type="cellIs" dxfId="355" priority="9" operator="greaterThan">
      <formula>50%</formula>
    </cfRule>
    <cfRule type="cellIs" dxfId="354" priority="10" operator="between">
      <formula>37.1%</formula>
      <formula>50%</formula>
    </cfRule>
    <cfRule type="cellIs" dxfId="353" priority="11" operator="between">
      <formula>16%</formula>
      <formula>37%</formula>
    </cfRule>
    <cfRule type="cellIs" dxfId="352" priority="12" operator="lessThan">
      <formula>16%</formula>
    </cfRule>
  </conditionalFormatting>
  <conditionalFormatting sqref="B38:D38">
    <cfRule type="cellIs" dxfId="351" priority="5" operator="greaterThan">
      <formula>50%</formula>
    </cfRule>
    <cfRule type="cellIs" dxfId="350" priority="6" operator="between">
      <formula>37%</formula>
      <formula>50%</formula>
    </cfRule>
    <cfRule type="cellIs" dxfId="349" priority="7" operator="between">
      <formula>16%</formula>
      <formula>37%</formula>
    </cfRule>
    <cfRule type="cellIs" dxfId="348" priority="8" operator="lessThan">
      <formula>16%</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U66"/>
  <sheetViews>
    <sheetView topLeftCell="A24" zoomScale="90" zoomScaleNormal="90" workbookViewId="0">
      <selection activeCell="G58" sqref="G58"/>
    </sheetView>
  </sheetViews>
  <sheetFormatPr baseColWidth="10" defaultRowHeight="15" x14ac:dyDescent="0.25"/>
  <cols>
    <col min="1" max="1" width="33.85546875" customWidth="1"/>
    <col min="2" max="2" width="17.5703125" customWidth="1"/>
    <col min="4" max="4" width="13" customWidth="1"/>
    <col min="7" max="7" width="12.85546875" style="55" customWidth="1"/>
    <col min="8" max="8" width="26.28515625" customWidth="1"/>
    <col min="19" max="19" width="17.28515625" customWidth="1"/>
    <col min="20" max="20" width="16.28515625" customWidth="1"/>
  </cols>
  <sheetData>
    <row r="6" spans="1:21" ht="19.5" x14ac:dyDescent="0.3">
      <c r="A6" s="567" t="s">
        <v>386</v>
      </c>
      <c r="B6" s="568"/>
      <c r="C6" s="568"/>
      <c r="D6" s="568"/>
      <c r="E6" s="568"/>
      <c r="F6" s="569"/>
      <c r="G6"/>
    </row>
    <row r="7" spans="1:21" ht="45" x14ac:dyDescent="0.25">
      <c r="A7" s="247" t="s">
        <v>377</v>
      </c>
      <c r="B7" s="244" t="s">
        <v>378</v>
      </c>
      <c r="C7" s="247" t="s">
        <v>379</v>
      </c>
      <c r="D7" s="244" t="s">
        <v>380</v>
      </c>
      <c r="E7" s="244" t="s">
        <v>381</v>
      </c>
      <c r="F7" s="244" t="s">
        <v>382</v>
      </c>
      <c r="G7"/>
      <c r="J7" s="55"/>
      <c r="K7" s="55"/>
      <c r="L7" s="55"/>
      <c r="M7" s="55" t="s">
        <v>579</v>
      </c>
      <c r="N7" s="55" t="s">
        <v>580</v>
      </c>
      <c r="O7" s="55" t="s">
        <v>581</v>
      </c>
      <c r="P7" s="55" t="s">
        <v>582</v>
      </c>
      <c r="Q7" s="55" t="s">
        <v>583</v>
      </c>
      <c r="R7" s="55"/>
      <c r="S7" s="138" t="s">
        <v>584</v>
      </c>
      <c r="T7" s="138" t="s">
        <v>585</v>
      </c>
      <c r="U7" s="55"/>
    </row>
    <row r="8" spans="1:21" ht="15.75" customHeight="1" x14ac:dyDescent="0.25">
      <c r="A8" s="563" t="s">
        <v>86</v>
      </c>
      <c r="B8" s="562">
        <v>0.2</v>
      </c>
      <c r="C8" s="1" t="s">
        <v>87</v>
      </c>
      <c r="D8" s="245" t="e">
        <f>'S. INVESTIGACIÓN'!#REF!</f>
        <v>#REF!</v>
      </c>
      <c r="E8" s="566" t="e">
        <f>B8*R8</f>
        <v>#DIV/0!</v>
      </c>
      <c r="F8" s="566">
        <f>U8</f>
        <v>0</v>
      </c>
      <c r="G8"/>
      <c r="J8" s="56"/>
      <c r="K8" s="56" t="e">
        <f>IF(D8&lt;16%,"Rojo",IF(D8&lt;37%,"Amarillo",IF(D8&lt;50.1%,"Verde","Azul")))</f>
        <v>#REF!</v>
      </c>
      <c r="L8" s="56" t="s">
        <v>573</v>
      </c>
      <c r="M8" s="56">
        <f>COUNTIF($K$8:$K$12,"Rojo")</f>
        <v>0</v>
      </c>
      <c r="N8" s="56">
        <f>COUNTIF($K$8:$K$12,"Amarillo")</f>
        <v>0</v>
      </c>
      <c r="O8" s="56">
        <f>COUNTIF($K$8:$K$12,"Verde")</f>
        <v>0</v>
      </c>
      <c r="P8" s="56">
        <f>COUNTIF($K$8:$K$12,"Azul")</f>
        <v>0</v>
      </c>
      <c r="Q8" s="56">
        <f>SUM(M8:P8)</f>
        <v>0</v>
      </c>
      <c r="R8" s="140" t="e">
        <f t="shared" ref="R8:R14" si="0">((100/Q8)*SUM(N8:P8)/100)</f>
        <v>#DIV/0!</v>
      </c>
      <c r="S8" s="139" t="e">
        <f>'S. INVESTIGACIÓN'!#REF!+'S. INVESTIGACIÓN'!#REF!+'S. INVESTIGACIÓN'!#REF!+'S. INVESTIGACIÓN'!#REF!+'S. INVESTIGACIÓN'!#REF!</f>
        <v>#REF!</v>
      </c>
      <c r="T8" s="139" t="e">
        <f>'S. INVESTIGACIÓN'!#REF!+'S. INVESTIGACIÓN'!#REF!+'S. INVESTIGACIÓN'!#REF!+'S. INVESTIGACIÓN'!#REF!+'S. INVESTIGACIÓN'!#REF!</f>
        <v>#REF!</v>
      </c>
      <c r="U8" s="141">
        <f>IFERROR(T8/S8,0)</f>
        <v>0</v>
      </c>
    </row>
    <row r="9" spans="1:21" ht="27.75" customHeight="1" x14ac:dyDescent="0.25">
      <c r="A9" s="563"/>
      <c r="B9" s="411"/>
      <c r="C9" s="1" t="s">
        <v>90</v>
      </c>
      <c r="D9" s="245" t="e">
        <f>'S. INVESTIGACIÓN'!#REF!</f>
        <v>#REF!</v>
      </c>
      <c r="E9" s="566"/>
      <c r="F9" s="566"/>
      <c r="G9"/>
      <c r="J9" s="56"/>
      <c r="K9" s="56" t="e">
        <f t="shared" ref="K9:K45" si="1">IF(D9&lt;16%,"Rojo",IF(D9&lt;37%,"Amarillo",IF(D9&lt;50.1%,"Verde","Azul")))</f>
        <v>#REF!</v>
      </c>
      <c r="L9" s="56" t="s">
        <v>574</v>
      </c>
      <c r="M9" s="56">
        <f>COUNTIF($K$13:$K$21,"Rojo")</f>
        <v>0</v>
      </c>
      <c r="N9" s="56">
        <f>COUNTIF($K$13:$K$21,"Amarillo")</f>
        <v>0</v>
      </c>
      <c r="O9" s="56">
        <f>COUNTIF($K$13:$K$21,"Verde")</f>
        <v>0</v>
      </c>
      <c r="P9" s="56">
        <f>COUNTIF($K$13:$K$21,"Azul")</f>
        <v>0</v>
      </c>
      <c r="Q9" s="56">
        <f>SUM(M9:P9)</f>
        <v>0</v>
      </c>
      <c r="R9" s="186" t="e">
        <f>((100/Q9)*SUM(N9:P9)/100)</f>
        <v>#DIV/0!</v>
      </c>
      <c r="S9" s="139" t="e">
        <f>'S. INVESTIGACIÓN'!#REF!+'S. INVESTIGACIÓN'!#REF!+'S. INVESTIGACIÓN'!#REF!+'S. INVESTIGACIÓN'!#REF!+'S. INVESTIGACIÓN'!#REF!+'S. INVESTIGACIÓN'!#REF!+'S. INVESTIGACIÓN'!#REF!+'S. INVESTIGACIÓN'!#REF!+'S. INVESTIGACIÓN'!#REF!</f>
        <v>#REF!</v>
      </c>
      <c r="T9" s="139" t="e">
        <f>'S. INVESTIGACIÓN'!#REF!+'S. INVESTIGACIÓN'!#REF!+'S. INVESTIGACIÓN'!#REF!+'S. INVESTIGACIÓN'!#REF!+'S. INVESTIGACIÓN'!#REF!+'S. INVESTIGACIÓN'!#REF!+'S. INVESTIGACIÓN'!#REF!+'S. INVESTIGACIÓN'!#REF!+'S. INVESTIGACIÓN'!#REF!</f>
        <v>#REF!</v>
      </c>
      <c r="U9" s="141">
        <f t="shared" ref="U9:U16" si="2">IFERROR(T9/S9,0)</f>
        <v>0</v>
      </c>
    </row>
    <row r="10" spans="1:21" ht="15.75" customHeight="1" x14ac:dyDescent="0.25">
      <c r="A10" s="563"/>
      <c r="B10" s="411"/>
      <c r="C10" s="241" t="s">
        <v>93</v>
      </c>
      <c r="D10" s="245" t="e">
        <f>'S. INVESTIGACIÓN'!#REF!</f>
        <v>#REF!</v>
      </c>
      <c r="E10" s="566"/>
      <c r="F10" s="566"/>
      <c r="G10"/>
      <c r="J10" s="56"/>
      <c r="K10" s="56" t="e">
        <f t="shared" si="1"/>
        <v>#REF!</v>
      </c>
      <c r="L10" s="56" t="s">
        <v>575</v>
      </c>
      <c r="M10" s="56">
        <f>COUNTIF($K$22:$K$25,"Rojo")</f>
        <v>0</v>
      </c>
      <c r="N10" s="56">
        <f>COUNTIF($K$22:$K$25,"Amarillo")</f>
        <v>0</v>
      </c>
      <c r="O10" s="56">
        <f>COUNTIF($K$22:$K$25,"Verde")</f>
        <v>0</v>
      </c>
      <c r="P10" s="56">
        <f>COUNTIF($K$22:$K$25,"Azul")</f>
        <v>0</v>
      </c>
      <c r="Q10" s="56">
        <f t="shared" ref="Q10:Q13" si="3">SUM(M10:P10)</f>
        <v>0</v>
      </c>
      <c r="R10" s="140" t="e">
        <f t="shared" si="0"/>
        <v>#DIV/0!</v>
      </c>
      <c r="S10" s="139" t="e">
        <f>'S. INVESTIGACIÓN'!#REF!+'S. INVESTIGACIÓN'!#REF!+'S. INVESTIGACIÓN'!#REF!+'S. INVESTIGACIÓN'!#REF!</f>
        <v>#REF!</v>
      </c>
      <c r="T10" s="139" t="e">
        <f>'S. INVESTIGACIÓN'!#REF!+'S. INVESTIGACIÓN'!#REF!+'S. INVESTIGACIÓN'!#REF!+'S. INVESTIGACIÓN'!#REF!</f>
        <v>#REF!</v>
      </c>
      <c r="U10" s="141">
        <f t="shared" si="2"/>
        <v>0</v>
      </c>
    </row>
    <row r="11" spans="1:21" x14ac:dyDescent="0.25">
      <c r="A11" s="563"/>
      <c r="B11" s="411"/>
      <c r="C11" s="1" t="s">
        <v>96</v>
      </c>
      <c r="D11" s="245" t="e">
        <f>'S. INVESTIGACIÓN'!#REF!</f>
        <v>#REF!</v>
      </c>
      <c r="E11" s="566"/>
      <c r="F11" s="566"/>
      <c r="G11"/>
      <c r="J11" s="56"/>
      <c r="K11" s="56" t="e">
        <f t="shared" si="1"/>
        <v>#REF!</v>
      </c>
      <c r="L11" s="56" t="s">
        <v>576</v>
      </c>
      <c r="M11" s="56">
        <f>COUNTIF($K$26:$K$27,"Rojo")</f>
        <v>0</v>
      </c>
      <c r="N11" s="56">
        <f>COUNTIF($K$26:$K$27,"Amarillo")</f>
        <v>0</v>
      </c>
      <c r="O11" s="56">
        <f>COUNTIF($K$26:$K$27,"Verde")</f>
        <v>0</v>
      </c>
      <c r="P11" s="56">
        <f>COUNTIF($K$26:$K$27,"Azul")</f>
        <v>0</v>
      </c>
      <c r="Q11" s="56">
        <f t="shared" si="3"/>
        <v>0</v>
      </c>
      <c r="R11" s="140" t="e">
        <f t="shared" si="0"/>
        <v>#DIV/0!</v>
      </c>
      <c r="S11" s="139" t="e">
        <f>'S. INVESTIGACIÓN'!#REF!+'S. INVESTIGACIÓN'!#REF!</f>
        <v>#REF!</v>
      </c>
      <c r="T11" s="139" t="e">
        <f>'S. INVESTIGACIÓN'!#REF!+'S. INVESTIGACIÓN'!#REF!</f>
        <v>#REF!</v>
      </c>
      <c r="U11" s="141">
        <f t="shared" si="2"/>
        <v>0</v>
      </c>
    </row>
    <row r="12" spans="1:21" ht="15.75" customHeight="1" x14ac:dyDescent="0.25">
      <c r="A12" s="563"/>
      <c r="B12" s="411"/>
      <c r="C12" s="1" t="s">
        <v>99</v>
      </c>
      <c r="D12" s="245" t="e">
        <f>'S. INVESTIGACIÓN'!#REF!</f>
        <v>#REF!</v>
      </c>
      <c r="E12" s="566"/>
      <c r="F12" s="566"/>
      <c r="G12"/>
      <c r="J12" s="56"/>
      <c r="K12" s="56" t="e">
        <f t="shared" si="1"/>
        <v>#REF!</v>
      </c>
      <c r="L12" s="56" t="s">
        <v>577</v>
      </c>
      <c r="M12" s="56">
        <f>COUNTIF($K$29:$K$30,"Rojo")</f>
        <v>0</v>
      </c>
      <c r="N12" s="56">
        <f>COUNTIF($K$29:$K$30,"Amarillo")</f>
        <v>0</v>
      </c>
      <c r="O12" s="56">
        <f>COUNTIF($K$29:$K$30,"Verde")</f>
        <v>0</v>
      </c>
      <c r="P12" s="56">
        <f>COUNTIF($K$29:$K$30,"Azul")</f>
        <v>0</v>
      </c>
      <c r="Q12" s="56">
        <f t="shared" ref="Q12" si="4">SUM(M12:P12)</f>
        <v>0</v>
      </c>
      <c r="R12" s="140" t="e">
        <f t="shared" si="0"/>
        <v>#DIV/0!</v>
      </c>
      <c r="S12" s="139" t="e">
        <f>'S. INVESTIGACIÓN'!#REF!+'S. INVESTIGACIÓN'!#REF!+'S. INVESTIGACIÓN'!#REF!</f>
        <v>#REF!</v>
      </c>
      <c r="T12" s="139" t="e">
        <f>'S. INVESTIGACIÓN'!#REF!+'S. INVESTIGACIÓN'!#REF!+'S. INVESTIGACIÓN'!#REF!</f>
        <v>#REF!</v>
      </c>
      <c r="U12" s="141">
        <f t="shared" si="2"/>
        <v>0</v>
      </c>
    </row>
    <row r="13" spans="1:21" ht="15" customHeight="1" x14ac:dyDescent="0.25">
      <c r="A13" s="563" t="s">
        <v>102</v>
      </c>
      <c r="B13" s="562">
        <v>0.2</v>
      </c>
      <c r="C13" s="1" t="s">
        <v>103</v>
      </c>
      <c r="D13" s="245" t="e">
        <f>'S. INVESTIGACIÓN'!#REF!</f>
        <v>#REF!</v>
      </c>
      <c r="E13" s="566" t="e">
        <f>B13*R9</f>
        <v>#DIV/0!</v>
      </c>
      <c r="F13" s="566">
        <f>U9</f>
        <v>0</v>
      </c>
      <c r="G13"/>
      <c r="J13" s="56"/>
      <c r="K13" s="56" t="e">
        <f t="shared" si="1"/>
        <v>#REF!</v>
      </c>
      <c r="L13" s="56" t="s">
        <v>586</v>
      </c>
      <c r="M13" s="56">
        <f>COUNTIF($K$38:$K$39,"Rojo")</f>
        <v>0</v>
      </c>
      <c r="N13" s="56">
        <f>COUNTIF($K$38:$K$39,"Amarillo")</f>
        <v>0</v>
      </c>
      <c r="O13" s="56">
        <f>COUNTIF($K$38:$K$39,"Verde")</f>
        <v>0</v>
      </c>
      <c r="P13" s="56">
        <f>COUNTIF($K$38:$K$39,"Azul")</f>
        <v>0</v>
      </c>
      <c r="Q13" s="56">
        <f t="shared" si="3"/>
        <v>0</v>
      </c>
      <c r="R13" s="140" t="e">
        <f t="shared" si="0"/>
        <v>#DIV/0!</v>
      </c>
      <c r="S13" s="139" t="e">
        <f>'S. INVESTIGACIÓN'!#REF!+'S. INVESTIGACIÓN'!#REF!+'S. INVESTIGACIÓN'!#REF!+'S. INVESTIGACIÓN'!#REF!</f>
        <v>#REF!</v>
      </c>
      <c r="T13" s="139" t="e">
        <f>'S. INVESTIGACIÓN'!#REF!+'S. INVESTIGACIÓN'!#REF!+'S. INVESTIGACIÓN'!#REF!+'S. INVESTIGACIÓN'!#REF!</f>
        <v>#REF!</v>
      </c>
      <c r="U13" s="141">
        <f t="shared" si="2"/>
        <v>0</v>
      </c>
    </row>
    <row r="14" spans="1:21" ht="15" customHeight="1" x14ac:dyDescent="0.25">
      <c r="A14" s="563"/>
      <c r="B14" s="562"/>
      <c r="C14" s="1" t="s">
        <v>106</v>
      </c>
      <c r="D14" s="245" t="e">
        <f>'S. INVESTIGACIÓN'!#REF!</f>
        <v>#REF!</v>
      </c>
      <c r="E14" s="566"/>
      <c r="F14" s="566"/>
      <c r="G14"/>
      <c r="J14" s="56"/>
      <c r="K14" s="56" t="e">
        <f t="shared" si="1"/>
        <v>#REF!</v>
      </c>
      <c r="L14" s="56" t="s">
        <v>578</v>
      </c>
      <c r="M14" s="56">
        <f>COUNTIF($K$39:$K$39,"Rojo")</f>
        <v>0</v>
      </c>
      <c r="N14" s="56">
        <f>COUNTIF($K$39:$K$39,"Amarillo")</f>
        <v>0</v>
      </c>
      <c r="O14" s="56">
        <f>COUNTIF($K$39:$K$39,"Verde")</f>
        <v>0</v>
      </c>
      <c r="P14" s="56">
        <f>COUNTIF($K$39:$K$39,"Azul")</f>
        <v>0</v>
      </c>
      <c r="Q14" s="56">
        <f t="shared" ref="Q14" si="5">SUM(M14:P14)</f>
        <v>0</v>
      </c>
      <c r="R14" s="140" t="e">
        <f t="shared" si="0"/>
        <v>#DIV/0!</v>
      </c>
      <c r="S14" s="139" t="e">
        <f>'S. INVESTIGACIÓN'!#REF!+'S. INVESTIGACIÓN'!#REF!</f>
        <v>#REF!</v>
      </c>
      <c r="T14" s="139" t="e">
        <f>'S. INVESTIGACIÓN'!#REF!+'S. INVESTIGACIÓN'!#REF!</f>
        <v>#REF!</v>
      </c>
      <c r="U14" s="141">
        <f t="shared" si="2"/>
        <v>0</v>
      </c>
    </row>
    <row r="15" spans="1:21" x14ac:dyDescent="0.25">
      <c r="A15" s="563"/>
      <c r="B15" s="562"/>
      <c r="C15" s="1" t="s">
        <v>109</v>
      </c>
      <c r="D15" s="245" t="e">
        <f>'S. INVESTIGACIÓN'!#REF!</f>
        <v>#REF!</v>
      </c>
      <c r="E15" s="566"/>
      <c r="F15" s="566"/>
      <c r="G15"/>
      <c r="J15" s="56"/>
      <c r="K15" s="56" t="e">
        <f t="shared" si="1"/>
        <v>#REF!</v>
      </c>
      <c r="L15" s="56" t="s">
        <v>590</v>
      </c>
      <c r="M15" s="56">
        <f>COUNTIF($K$41:$K$42,"Rojo")</f>
        <v>0</v>
      </c>
      <c r="N15" s="56">
        <f>COUNTIF($K$41:$K$42,"Amarillo")</f>
        <v>0</v>
      </c>
      <c r="O15" s="56">
        <f>COUNTIF($K$41:$K$42,"Verde")</f>
        <v>0</v>
      </c>
      <c r="P15" s="56">
        <f>COUNTIF($K$41:$K$42,"Azul")</f>
        <v>0</v>
      </c>
      <c r="Q15" s="56">
        <f t="shared" ref="Q15" si="6">SUM(M15:P15)</f>
        <v>0</v>
      </c>
      <c r="R15" s="140" t="e">
        <f t="shared" ref="R15" si="7">((100/Q15)*SUM(N15:P15)/100)</f>
        <v>#DIV/0!</v>
      </c>
      <c r="S15" s="139" t="e">
        <f>'S. INVESTIGACIÓN'!#REF!+'S. INVESTIGACIÓN'!#REF!</f>
        <v>#REF!</v>
      </c>
      <c r="T15" s="139" t="e">
        <f>'S. INVESTIGACIÓN'!#REF!+'S. INVESTIGACIÓN'!#REF!</f>
        <v>#REF!</v>
      </c>
      <c r="U15" s="141">
        <f t="shared" si="2"/>
        <v>0</v>
      </c>
    </row>
    <row r="16" spans="1:21" x14ac:dyDescent="0.25">
      <c r="A16" s="563"/>
      <c r="B16" s="562"/>
      <c r="C16" s="1" t="s">
        <v>111</v>
      </c>
      <c r="D16" s="245" t="e">
        <f>'S. INVESTIGACIÓN'!#REF!</f>
        <v>#REF!</v>
      </c>
      <c r="E16" s="566"/>
      <c r="F16" s="566"/>
      <c r="G16"/>
      <c r="J16" s="56"/>
      <c r="K16" s="56" t="e">
        <f t="shared" si="1"/>
        <v>#REF!</v>
      </c>
      <c r="L16" s="56" t="s">
        <v>695</v>
      </c>
      <c r="M16" s="56">
        <f>COUNTIF($K$43:$K$48,"Rojo")</f>
        <v>0</v>
      </c>
      <c r="N16" s="56">
        <f>COUNTIF($K$43:$K$48,"Amarillo")</f>
        <v>0</v>
      </c>
      <c r="O16" s="56">
        <f>COUNTIF($K$43:$K$48,"Verde")</f>
        <v>0</v>
      </c>
      <c r="P16" s="56">
        <f>COUNTIF($K$43:$K$48,"Azul")</f>
        <v>0</v>
      </c>
      <c r="Q16" s="56">
        <f t="shared" ref="Q16" si="8">SUM(M16:P16)</f>
        <v>0</v>
      </c>
      <c r="R16" s="140" t="e">
        <f t="shared" ref="R16" si="9">((100/Q16)*SUM(N16:P16)/100)</f>
        <v>#DIV/0!</v>
      </c>
      <c r="S16" s="139" t="e">
        <f>'S. INVESTIGACIÓN'!#REF!+'S. INVESTIGACIÓN'!#REF!+'S. INVESTIGACIÓN'!#REF!+'S. INVESTIGACIÓN'!#REF!+'S. INVESTIGACIÓN'!#REF!+'S. INVESTIGACIÓN'!#REF!</f>
        <v>#REF!</v>
      </c>
      <c r="T16" s="139" t="e">
        <f>'S. INVESTIGACIÓN'!#REF!+'S. INVESTIGACIÓN'!#REF!+'S. INVESTIGACIÓN'!#REF!+'S. INVESTIGACIÓN'!#REF!+'S. INVESTIGACIÓN'!#REF!+'S. INVESTIGACIÓN'!#REF!</f>
        <v>#REF!</v>
      </c>
      <c r="U16" s="141">
        <f t="shared" si="2"/>
        <v>0</v>
      </c>
    </row>
    <row r="17" spans="1:21" ht="15" customHeight="1" x14ac:dyDescent="0.25">
      <c r="A17" s="563"/>
      <c r="B17" s="562"/>
      <c r="C17" s="1" t="s">
        <v>114</v>
      </c>
      <c r="D17" s="245" t="e">
        <f>'S. INVESTIGACIÓN'!#REF!</f>
        <v>#REF!</v>
      </c>
      <c r="E17" s="566"/>
      <c r="F17" s="566"/>
      <c r="G17"/>
      <c r="J17" s="56"/>
      <c r="K17" s="56" t="e">
        <f t="shared" si="1"/>
        <v>#REF!</v>
      </c>
      <c r="L17" s="56"/>
      <c r="M17" s="56"/>
      <c r="N17" s="56"/>
      <c r="O17" s="56"/>
      <c r="P17" s="56"/>
      <c r="Q17" s="56"/>
      <c r="R17" s="56"/>
      <c r="S17" s="139" t="e">
        <f>SUM(S8:S16)</f>
        <v>#REF!</v>
      </c>
      <c r="T17" s="139" t="e">
        <f>SUM(T8:T16)</f>
        <v>#REF!</v>
      </c>
      <c r="U17" s="56"/>
    </row>
    <row r="18" spans="1:21" x14ac:dyDescent="0.25">
      <c r="A18" s="563"/>
      <c r="B18" s="562"/>
      <c r="C18" s="1" t="s">
        <v>117</v>
      </c>
      <c r="D18" s="245" t="e">
        <f>'S. INVESTIGACIÓN'!#REF!</f>
        <v>#REF!</v>
      </c>
      <c r="E18" s="566"/>
      <c r="F18" s="566"/>
      <c r="G18"/>
      <c r="J18" s="56"/>
      <c r="K18" s="56" t="e">
        <f t="shared" si="1"/>
        <v>#REF!</v>
      </c>
      <c r="L18" s="56"/>
      <c r="M18" s="56"/>
      <c r="N18" s="56"/>
      <c r="O18" s="56"/>
      <c r="P18" s="56"/>
      <c r="Q18" s="56"/>
      <c r="R18" s="56"/>
      <c r="S18" s="56"/>
      <c r="T18" s="56"/>
      <c r="U18" s="56"/>
    </row>
    <row r="19" spans="1:21" ht="15" customHeight="1" x14ac:dyDescent="0.25">
      <c r="A19" s="563"/>
      <c r="B19" s="562"/>
      <c r="C19" s="1" t="s">
        <v>120</v>
      </c>
      <c r="D19" s="245" t="e">
        <f>'S. INVESTIGACIÓN'!#REF!</f>
        <v>#REF!</v>
      </c>
      <c r="E19" s="566"/>
      <c r="F19" s="566"/>
      <c r="G19"/>
      <c r="J19" s="56"/>
      <c r="K19" s="56" t="e">
        <f t="shared" si="1"/>
        <v>#REF!</v>
      </c>
      <c r="L19" s="56"/>
      <c r="M19" s="56"/>
      <c r="N19" s="56"/>
      <c r="O19" s="56"/>
      <c r="P19" s="56"/>
      <c r="Q19" s="56" t="e">
        <f>100/Q9</f>
        <v>#DIV/0!</v>
      </c>
      <c r="R19" s="56"/>
      <c r="S19" s="56"/>
      <c r="T19" s="56"/>
      <c r="U19" s="56"/>
    </row>
    <row r="20" spans="1:21" x14ac:dyDescent="0.25">
      <c r="A20" s="563"/>
      <c r="B20" s="562"/>
      <c r="C20" s="1" t="s">
        <v>123</v>
      </c>
      <c r="D20" s="245" t="e">
        <f>'S. INVESTIGACIÓN'!#REF!</f>
        <v>#REF!</v>
      </c>
      <c r="E20" s="566"/>
      <c r="F20" s="566"/>
      <c r="G20"/>
      <c r="J20" s="56"/>
      <c r="K20" s="56" t="e">
        <f t="shared" si="1"/>
        <v>#REF!</v>
      </c>
      <c r="L20" s="56"/>
      <c r="M20" s="56"/>
      <c r="N20" s="56"/>
      <c r="O20" s="56"/>
      <c r="P20" s="56"/>
      <c r="Q20" s="56">
        <f>+SUM(N9:P9)</f>
        <v>0</v>
      </c>
      <c r="R20" s="56"/>
      <c r="S20" s="56"/>
      <c r="T20" s="56"/>
      <c r="U20" s="56"/>
    </row>
    <row r="21" spans="1:21" ht="15" customHeight="1" x14ac:dyDescent="0.25">
      <c r="A21" s="563"/>
      <c r="B21" s="562"/>
      <c r="C21" s="1" t="s">
        <v>125</v>
      </c>
      <c r="D21" s="245" t="e">
        <f>'S. INVESTIGACIÓN'!#REF!</f>
        <v>#REF!</v>
      </c>
      <c r="E21" s="566"/>
      <c r="F21" s="566"/>
      <c r="G21"/>
      <c r="J21" s="56"/>
      <c r="K21" s="56" t="e">
        <f t="shared" si="1"/>
        <v>#REF!</v>
      </c>
      <c r="L21" s="56"/>
      <c r="M21" s="56"/>
      <c r="N21" s="56"/>
      <c r="O21" s="56"/>
      <c r="P21" s="56"/>
      <c r="Q21" s="56" t="e">
        <f>+Q20*Q19</f>
        <v>#DIV/0!</v>
      </c>
      <c r="R21" s="56"/>
      <c r="S21" s="56"/>
      <c r="T21" s="56"/>
      <c r="U21" s="56"/>
    </row>
    <row r="22" spans="1:21" ht="15" customHeight="1" x14ac:dyDescent="0.25">
      <c r="A22" s="563" t="s">
        <v>128</v>
      </c>
      <c r="B22" s="562">
        <v>0.15</v>
      </c>
      <c r="C22" s="1" t="s">
        <v>129</v>
      </c>
      <c r="D22" s="245" t="e">
        <f>'S. INVESTIGACIÓN'!#REF!</f>
        <v>#REF!</v>
      </c>
      <c r="E22" s="566" t="e">
        <f>B22*R10</f>
        <v>#DIV/0!</v>
      </c>
      <c r="F22" s="566">
        <f>U10</f>
        <v>0</v>
      </c>
      <c r="G22"/>
      <c r="J22" s="56"/>
      <c r="K22" s="56" t="e">
        <f t="shared" si="1"/>
        <v>#REF!</v>
      </c>
      <c r="L22" s="56"/>
      <c r="M22" s="56"/>
      <c r="N22" s="56"/>
      <c r="O22" s="56"/>
      <c r="P22" s="56"/>
      <c r="Q22" s="56"/>
      <c r="R22" s="56"/>
      <c r="S22" s="56"/>
      <c r="T22" s="56"/>
      <c r="U22" s="56"/>
    </row>
    <row r="23" spans="1:21" x14ac:dyDescent="0.25">
      <c r="A23" s="563"/>
      <c r="B23" s="562"/>
      <c r="C23" s="1" t="s">
        <v>131</v>
      </c>
      <c r="D23" s="245" t="e">
        <f>'S. INVESTIGACIÓN'!#REF!</f>
        <v>#REF!</v>
      </c>
      <c r="E23" s="566"/>
      <c r="F23" s="566"/>
      <c r="G23"/>
      <c r="J23" s="56"/>
      <c r="K23" s="56" t="e">
        <f t="shared" si="1"/>
        <v>#REF!</v>
      </c>
      <c r="L23" s="56"/>
      <c r="M23" s="56"/>
      <c r="N23" s="56"/>
      <c r="O23" s="56"/>
      <c r="P23" s="56"/>
      <c r="Q23" s="56"/>
      <c r="R23" s="56"/>
      <c r="S23" s="56"/>
      <c r="T23" s="56"/>
      <c r="U23" s="56"/>
    </row>
    <row r="24" spans="1:21" x14ac:dyDescent="0.25">
      <c r="A24" s="563"/>
      <c r="B24" s="562"/>
      <c r="C24" s="1" t="s">
        <v>133</v>
      </c>
      <c r="D24" s="245" t="e">
        <f>'S. INVESTIGACIÓN'!#REF!</f>
        <v>#REF!</v>
      </c>
      <c r="E24" s="566"/>
      <c r="F24" s="566"/>
      <c r="G24"/>
      <c r="J24" s="56"/>
      <c r="K24" s="56" t="e">
        <f t="shared" si="1"/>
        <v>#REF!</v>
      </c>
      <c r="L24" s="56"/>
      <c r="M24" s="56"/>
      <c r="N24" s="56"/>
      <c r="O24" s="56"/>
      <c r="P24" s="56"/>
      <c r="Q24" s="56"/>
      <c r="R24" s="56"/>
      <c r="S24" s="56"/>
      <c r="T24" s="56"/>
      <c r="U24" s="56"/>
    </row>
    <row r="25" spans="1:21" ht="15.75" customHeight="1" x14ac:dyDescent="0.25">
      <c r="A25" s="563"/>
      <c r="B25" s="562"/>
      <c r="C25" s="1" t="s">
        <v>367</v>
      </c>
      <c r="D25" s="245" t="e">
        <f>'S. INVESTIGACIÓN'!#REF!</f>
        <v>#REF!</v>
      </c>
      <c r="E25" s="566"/>
      <c r="F25" s="566"/>
      <c r="G25"/>
      <c r="J25" s="56"/>
      <c r="K25" s="56" t="e">
        <f t="shared" si="1"/>
        <v>#REF!</v>
      </c>
      <c r="L25" s="56"/>
      <c r="M25" s="56"/>
      <c r="N25" s="56"/>
      <c r="O25" s="56"/>
      <c r="P25" s="56"/>
      <c r="Q25" s="56"/>
      <c r="R25" s="56"/>
      <c r="S25" s="56"/>
      <c r="T25" s="56"/>
      <c r="U25" s="56"/>
    </row>
    <row r="26" spans="1:21" x14ac:dyDescent="0.25">
      <c r="A26" s="565" t="s">
        <v>135</v>
      </c>
      <c r="B26" s="562">
        <v>0.15</v>
      </c>
      <c r="C26" s="1" t="s">
        <v>136</v>
      </c>
      <c r="D26" s="245" t="e">
        <f>'S. INVESTIGACIÓN'!#REF!</f>
        <v>#REF!</v>
      </c>
      <c r="E26" s="566" t="e">
        <f>B26*R11</f>
        <v>#DIV/0!</v>
      </c>
      <c r="F26" s="566">
        <f>U11</f>
        <v>0</v>
      </c>
      <c r="G26"/>
      <c r="J26" s="56"/>
      <c r="K26" s="56" t="e">
        <f t="shared" si="1"/>
        <v>#REF!</v>
      </c>
      <c r="L26" s="56"/>
      <c r="M26" s="56"/>
      <c r="N26" s="56"/>
      <c r="O26" s="56"/>
      <c r="P26" s="56"/>
      <c r="Q26" s="56"/>
      <c r="R26" s="56"/>
      <c r="S26" s="56"/>
      <c r="T26" s="56"/>
      <c r="U26" s="56"/>
    </row>
    <row r="27" spans="1:21" x14ac:dyDescent="0.25">
      <c r="A27" s="565"/>
      <c r="B27" s="411"/>
      <c r="C27" s="1" t="s">
        <v>138</v>
      </c>
      <c r="D27" s="245" t="e">
        <f>'S. INVESTIGACIÓN'!#REF!</f>
        <v>#REF!</v>
      </c>
      <c r="E27" s="566"/>
      <c r="F27" s="566"/>
      <c r="G27"/>
      <c r="K27" s="56" t="e">
        <f t="shared" si="1"/>
        <v>#REF!</v>
      </c>
    </row>
    <row r="28" spans="1:21" ht="15.75" hidden="1" customHeight="1" x14ac:dyDescent="0.25">
      <c r="A28" s="6"/>
      <c r="B28" s="6"/>
      <c r="C28" s="48"/>
      <c r="D28" s="245"/>
      <c r="E28" s="248"/>
      <c r="F28" s="239"/>
      <c r="G28"/>
      <c r="K28" s="56" t="str">
        <f t="shared" si="1"/>
        <v>Rojo</v>
      </c>
    </row>
    <row r="29" spans="1:21" x14ac:dyDescent="0.25">
      <c r="A29" s="565" t="s">
        <v>140</v>
      </c>
      <c r="B29" s="562">
        <v>0.1</v>
      </c>
      <c r="C29" s="1" t="s">
        <v>141</v>
      </c>
      <c r="D29" s="245" t="e">
        <f>'S. INVESTIGACIÓN'!#REF!</f>
        <v>#REF!</v>
      </c>
      <c r="E29" s="566" t="e">
        <f>B29*R12</f>
        <v>#DIV/0!</v>
      </c>
      <c r="F29" s="566">
        <f>U12</f>
        <v>0</v>
      </c>
      <c r="G29"/>
      <c r="K29" s="56" t="e">
        <f t="shared" si="1"/>
        <v>#REF!</v>
      </c>
    </row>
    <row r="30" spans="1:21" x14ac:dyDescent="0.25">
      <c r="A30" s="565"/>
      <c r="B30" s="411"/>
      <c r="C30" s="1" t="s">
        <v>144</v>
      </c>
      <c r="D30" s="245" t="e">
        <f>'S. INVESTIGACIÓN'!#REF!</f>
        <v>#REF!</v>
      </c>
      <c r="E30" s="566"/>
      <c r="F30" s="566"/>
      <c r="G30"/>
      <c r="K30" s="56" t="e">
        <f t="shared" si="1"/>
        <v>#REF!</v>
      </c>
    </row>
    <row r="31" spans="1:21" ht="15" hidden="1" customHeight="1" x14ac:dyDescent="0.25">
      <c r="A31" s="565"/>
      <c r="B31" s="411"/>
      <c r="C31" s="1" t="s">
        <v>147</v>
      </c>
      <c r="D31" s="245"/>
      <c r="E31" s="245"/>
      <c r="F31" s="245"/>
      <c r="G31"/>
      <c r="K31" s="56" t="str">
        <f t="shared" si="1"/>
        <v>Rojo</v>
      </c>
    </row>
    <row r="32" spans="1:21" ht="15" hidden="1" customHeight="1" x14ac:dyDescent="0.25">
      <c r="A32" s="406" t="s">
        <v>149</v>
      </c>
      <c r="B32" s="562">
        <v>0</v>
      </c>
      <c r="C32" s="1" t="s">
        <v>150</v>
      </c>
      <c r="D32" s="245"/>
      <c r="E32" s="564">
        <v>0</v>
      </c>
      <c r="F32" s="394">
        <v>0</v>
      </c>
      <c r="G32"/>
      <c r="K32" s="56" t="str">
        <f t="shared" si="1"/>
        <v>Rojo</v>
      </c>
    </row>
    <row r="33" spans="1:11" ht="15" hidden="1" customHeight="1" x14ac:dyDescent="0.25">
      <c r="A33" s="406"/>
      <c r="B33" s="562"/>
      <c r="C33" s="1" t="s">
        <v>152</v>
      </c>
      <c r="D33" s="245"/>
      <c r="E33" s="564"/>
      <c r="F33" s="394"/>
      <c r="G33"/>
      <c r="K33" s="56" t="str">
        <f t="shared" si="1"/>
        <v>Rojo</v>
      </c>
    </row>
    <row r="34" spans="1:11" ht="15" hidden="1" customHeight="1" x14ac:dyDescent="0.25">
      <c r="A34" s="406"/>
      <c r="B34" s="562"/>
      <c r="C34" s="1" t="s">
        <v>154</v>
      </c>
      <c r="D34" s="245"/>
      <c r="E34" s="564"/>
      <c r="F34" s="394"/>
      <c r="G34"/>
      <c r="K34" s="56" t="str">
        <f t="shared" si="1"/>
        <v>Rojo</v>
      </c>
    </row>
    <row r="35" spans="1:11" ht="15" hidden="1" customHeight="1" x14ac:dyDescent="0.25">
      <c r="A35" s="406"/>
      <c r="B35" s="562"/>
      <c r="C35" s="1" t="s">
        <v>156</v>
      </c>
      <c r="D35" s="245"/>
      <c r="E35" s="564"/>
      <c r="F35" s="394"/>
      <c r="G35"/>
      <c r="K35" s="56" t="str">
        <f t="shared" si="1"/>
        <v>Rojo</v>
      </c>
    </row>
    <row r="36" spans="1:11" ht="15" hidden="1" customHeight="1" x14ac:dyDescent="0.25">
      <c r="A36" s="406" t="s">
        <v>158</v>
      </c>
      <c r="B36" s="562">
        <v>0</v>
      </c>
      <c r="C36" s="1" t="s">
        <v>159</v>
      </c>
      <c r="D36" s="245"/>
      <c r="E36" s="564">
        <v>0</v>
      </c>
      <c r="F36" s="394">
        <v>0</v>
      </c>
      <c r="G36"/>
      <c r="K36" s="56" t="str">
        <f t="shared" si="1"/>
        <v>Rojo</v>
      </c>
    </row>
    <row r="37" spans="1:11" ht="15" hidden="1" customHeight="1" x14ac:dyDescent="0.25">
      <c r="A37" s="406"/>
      <c r="B37" s="411"/>
      <c r="C37" s="18" t="s">
        <v>161</v>
      </c>
      <c r="D37" s="245"/>
      <c r="E37" s="564"/>
      <c r="F37" s="394"/>
      <c r="G37"/>
      <c r="K37" s="56" t="str">
        <f t="shared" si="1"/>
        <v>Rojo</v>
      </c>
    </row>
    <row r="38" spans="1:11" ht="30" x14ac:dyDescent="0.25">
      <c r="A38" s="10" t="s">
        <v>149</v>
      </c>
      <c r="B38" s="6"/>
      <c r="C38" s="1" t="s">
        <v>150</v>
      </c>
      <c r="D38" s="245" t="e">
        <f>'S. INVESTIGACIÓN'!#REF!</f>
        <v>#REF!</v>
      </c>
      <c r="E38" s="6"/>
      <c r="F38" s="251">
        <f>U13</f>
        <v>0</v>
      </c>
      <c r="G38"/>
      <c r="K38" s="56" t="e">
        <f t="shared" si="1"/>
        <v>#REF!</v>
      </c>
    </row>
    <row r="39" spans="1:11" ht="60" x14ac:dyDescent="0.25">
      <c r="A39" s="263" t="s">
        <v>158</v>
      </c>
      <c r="B39" s="6"/>
      <c r="C39" s="239" t="s">
        <v>159</v>
      </c>
      <c r="D39" s="245" t="e">
        <f>'S. INVESTIGACIÓN'!#REF!</f>
        <v>#REF!</v>
      </c>
      <c r="E39" s="6"/>
      <c r="F39" s="245">
        <f>U14</f>
        <v>0</v>
      </c>
      <c r="G39"/>
      <c r="K39" s="56" t="e">
        <f t="shared" si="1"/>
        <v>#REF!</v>
      </c>
    </row>
    <row r="40" spans="1:11" ht="15" hidden="1" customHeight="1" x14ac:dyDescent="0.25">
      <c r="A40" s="263"/>
      <c r="B40" s="6"/>
      <c r="C40" s="48" t="s">
        <v>161</v>
      </c>
      <c r="D40" s="245" t="e">
        <f>'S. INVESTIGACIÓN'!#REF!</f>
        <v>#REF!</v>
      </c>
      <c r="E40" s="6"/>
      <c r="F40" s="245"/>
      <c r="G40"/>
      <c r="K40" s="56" t="e">
        <f t="shared" si="1"/>
        <v>#REF!</v>
      </c>
    </row>
    <row r="41" spans="1:11" ht="44.25" customHeight="1" x14ac:dyDescent="0.25">
      <c r="A41" s="537" t="s">
        <v>163</v>
      </c>
      <c r="B41" s="246">
        <v>0.1</v>
      </c>
      <c r="C41" s="1" t="s">
        <v>164</v>
      </c>
      <c r="D41" s="245" t="e">
        <f>'S. INVESTIGACIÓN'!#REF!</f>
        <v>#REF!</v>
      </c>
      <c r="E41" s="483" t="e">
        <f>B41*R13</f>
        <v>#DIV/0!</v>
      </c>
      <c r="F41" s="483">
        <f>U15</f>
        <v>0</v>
      </c>
      <c r="G41"/>
      <c r="K41" s="56" t="e">
        <f t="shared" si="1"/>
        <v>#REF!</v>
      </c>
    </row>
    <row r="42" spans="1:11" ht="29.25" customHeight="1" x14ac:dyDescent="0.25">
      <c r="A42" s="539"/>
      <c r="B42" s="246"/>
      <c r="C42" s="1" t="s">
        <v>167</v>
      </c>
      <c r="D42" s="245" t="e">
        <f>'S. INVESTIGACIÓN'!#REF!</f>
        <v>#REF!</v>
      </c>
      <c r="E42" s="485"/>
      <c r="F42" s="485"/>
      <c r="G42"/>
      <c r="K42" s="56" t="e">
        <f t="shared" si="1"/>
        <v>#REF!</v>
      </c>
    </row>
    <row r="43" spans="1:11" ht="18.75" customHeight="1" x14ac:dyDescent="0.25">
      <c r="A43" s="408" t="s">
        <v>170</v>
      </c>
      <c r="B43" s="246">
        <v>0.1</v>
      </c>
      <c r="C43" s="1" t="s">
        <v>171</v>
      </c>
      <c r="D43" s="245" t="e">
        <f>'S. INVESTIGACIÓN'!#REF!</f>
        <v>#REF!</v>
      </c>
      <c r="E43" s="483" t="e">
        <f>B43*R14</f>
        <v>#DIV/0!</v>
      </c>
      <c r="F43" s="483">
        <f>U16</f>
        <v>0</v>
      </c>
      <c r="G43"/>
      <c r="K43" s="56" t="e">
        <f t="shared" si="1"/>
        <v>#REF!</v>
      </c>
    </row>
    <row r="44" spans="1:11" ht="18.75" customHeight="1" x14ac:dyDescent="0.25">
      <c r="A44" s="409"/>
      <c r="B44" s="240"/>
      <c r="C44" s="1" t="s">
        <v>173</v>
      </c>
      <c r="D44" s="245" t="e">
        <f>'S. INVESTIGACIÓN'!#REF!</f>
        <v>#REF!</v>
      </c>
      <c r="E44" s="484"/>
      <c r="F44" s="484"/>
      <c r="G44"/>
      <c r="K44" s="56" t="e">
        <f t="shared" si="1"/>
        <v>#REF!</v>
      </c>
    </row>
    <row r="45" spans="1:11" ht="18.75" customHeight="1" x14ac:dyDescent="0.25">
      <c r="A45" s="409"/>
      <c r="B45" s="240"/>
      <c r="C45" s="1" t="s">
        <v>176</v>
      </c>
      <c r="D45" s="245" t="e">
        <f>'S. INVESTIGACIÓN'!#REF!</f>
        <v>#REF!</v>
      </c>
      <c r="E45" s="484"/>
      <c r="F45" s="484"/>
      <c r="G45"/>
      <c r="K45" s="56" t="e">
        <f t="shared" si="1"/>
        <v>#REF!</v>
      </c>
    </row>
    <row r="46" spans="1:11" ht="18.75" customHeight="1" x14ac:dyDescent="0.25">
      <c r="A46" s="409"/>
      <c r="B46" s="240"/>
      <c r="C46" s="1" t="s">
        <v>178</v>
      </c>
      <c r="D46" s="245" t="e">
        <f>'S. INVESTIGACIÓN'!#REF!</f>
        <v>#REF!</v>
      </c>
      <c r="E46" s="484"/>
      <c r="F46" s="484"/>
      <c r="G46"/>
      <c r="K46" s="56" t="e">
        <f>IF(D48&lt;16%,"Rojo",IF(D48&lt;37%,"Amarillo",IF(D48&lt;50.1%,"Verde","Azul")))</f>
        <v>#REF!</v>
      </c>
    </row>
    <row r="47" spans="1:11" ht="18.75" customHeight="1" x14ac:dyDescent="0.25">
      <c r="A47" s="409"/>
      <c r="B47" s="240"/>
      <c r="C47" s="1" t="s">
        <v>181</v>
      </c>
      <c r="D47" s="245" t="e">
        <f>'S. INVESTIGACIÓN'!#REF!</f>
        <v>#REF!</v>
      </c>
      <c r="E47" s="484"/>
      <c r="F47" s="484"/>
      <c r="G47"/>
      <c r="K47" s="56"/>
    </row>
    <row r="48" spans="1:11" ht="18.75" customHeight="1" x14ac:dyDescent="0.25">
      <c r="A48" s="410"/>
      <c r="B48" s="240"/>
      <c r="C48" s="1" t="s">
        <v>184</v>
      </c>
      <c r="D48" s="245" t="e">
        <f>'S. INVESTIGACIÓN'!#REF!</f>
        <v>#REF!</v>
      </c>
      <c r="E48" s="485"/>
      <c r="F48" s="485"/>
      <c r="G48"/>
      <c r="K48" s="56"/>
    </row>
    <row r="49" spans="1:11" ht="15" customHeight="1" x14ac:dyDescent="0.25">
      <c r="A49" s="543" t="s">
        <v>387</v>
      </c>
      <c r="B49" s="543"/>
      <c r="C49" s="543"/>
      <c r="D49" s="543"/>
      <c r="E49" s="152" t="e">
        <f>(SUM(E8:E48)/7)</f>
        <v>#DIV/0!</v>
      </c>
      <c r="F49" s="143">
        <f>C66</f>
        <v>0</v>
      </c>
      <c r="G49"/>
      <c r="K49" s="56"/>
    </row>
    <row r="50" spans="1:11" x14ac:dyDescent="0.25">
      <c r="G50"/>
      <c r="K50" s="56"/>
    </row>
    <row r="51" spans="1:11" ht="15" customHeight="1" x14ac:dyDescent="0.25">
      <c r="G51"/>
      <c r="K51" s="56"/>
    </row>
    <row r="52" spans="1:11" x14ac:dyDescent="0.25">
      <c r="G52"/>
      <c r="K52" s="56"/>
    </row>
    <row r="53" spans="1:11" ht="15" customHeight="1" x14ac:dyDescent="0.25">
      <c r="K53" s="56"/>
    </row>
    <row r="54" spans="1:11" x14ac:dyDescent="0.25">
      <c r="K54" s="56"/>
    </row>
    <row r="55" spans="1:11" ht="15" customHeight="1" x14ac:dyDescent="0.25">
      <c r="K55" s="56"/>
    </row>
    <row r="56" spans="1:11" ht="30" x14ac:dyDescent="0.25">
      <c r="A56" s="244" t="s">
        <v>377</v>
      </c>
      <c r="B56" s="244" t="s">
        <v>593</v>
      </c>
      <c r="C56" s="244" t="s">
        <v>595</v>
      </c>
      <c r="D56" s="244" t="s">
        <v>7</v>
      </c>
    </row>
    <row r="57" spans="1:11" ht="45" customHeight="1" x14ac:dyDescent="0.25">
      <c r="A57" s="10" t="str">
        <f>A8</f>
        <v>SI-PY1.  Fortalecimiento de las capacidades de investigación, desarrollo e innovación.</v>
      </c>
      <c r="B57" s="245" t="e">
        <f t="shared" ref="B57:B65" si="10">R8</f>
        <v>#DIV/0!</v>
      </c>
      <c r="C57" s="245">
        <f>F8</f>
        <v>0</v>
      </c>
      <c r="D57" s="245" t="e">
        <f t="shared" ref="D57:D65" si="11">(B57+C57)/2</f>
        <v>#DIV/0!</v>
      </c>
    </row>
    <row r="58" spans="1:11" ht="30" x14ac:dyDescent="0.25">
      <c r="A58" s="10" t="str">
        <f>A13</f>
        <v>SI-PY2.  Calidad Académica y formación en Investigación.</v>
      </c>
      <c r="B58" s="245" t="e">
        <f t="shared" si="10"/>
        <v>#DIV/0!</v>
      </c>
      <c r="C58" s="245">
        <f>F13</f>
        <v>0</v>
      </c>
      <c r="D58" s="245" t="e">
        <f t="shared" si="11"/>
        <v>#DIV/0!</v>
      </c>
    </row>
    <row r="59" spans="1:11" ht="45" customHeight="1" x14ac:dyDescent="0.25">
      <c r="A59" s="10" t="str">
        <f>A22</f>
        <v>SI-PY3. Calidad Académica y formación a través de la Investigación</v>
      </c>
      <c r="B59" s="245" t="e">
        <f t="shared" si="10"/>
        <v>#DIV/0!</v>
      </c>
      <c r="C59" s="245">
        <f>F22</f>
        <v>0</v>
      </c>
      <c r="D59" s="245" t="e">
        <f t="shared" si="11"/>
        <v>#DIV/0!</v>
      </c>
    </row>
    <row r="60" spans="1:11" ht="30" x14ac:dyDescent="0.25">
      <c r="A60" s="10" t="str">
        <f>A26</f>
        <v>SI-PY4.  Calidad Académica y ejecución de Investigación.</v>
      </c>
      <c r="B60" s="245" t="e">
        <f t="shared" si="10"/>
        <v>#DIV/0!</v>
      </c>
      <c r="C60" s="245">
        <f>F26</f>
        <v>0</v>
      </c>
      <c r="D60" s="245" t="e">
        <f t="shared" si="11"/>
        <v>#DIV/0!</v>
      </c>
    </row>
    <row r="61" spans="1:11" ht="30" x14ac:dyDescent="0.25">
      <c r="A61" s="10" t="str">
        <f>A29</f>
        <v>SI-PY5. Calidad Académica y gestión de Investigación.</v>
      </c>
      <c r="B61" s="245" t="e">
        <f t="shared" si="10"/>
        <v>#DIV/0!</v>
      </c>
      <c r="C61" s="245">
        <f>F29</f>
        <v>0</v>
      </c>
      <c r="D61" s="245" t="e">
        <f t="shared" si="11"/>
        <v>#DIV/0!</v>
      </c>
    </row>
    <row r="62" spans="1:11" ht="30" x14ac:dyDescent="0.25">
      <c r="A62" s="10" t="str">
        <f>A38</f>
        <v>SI-PY6.  Articulación del Sistema Integrado de Información (TICS).</v>
      </c>
      <c r="B62" s="245" t="e">
        <f t="shared" si="10"/>
        <v>#DIV/0!</v>
      </c>
      <c r="C62" s="245">
        <f>F38</f>
        <v>0</v>
      </c>
      <c r="D62" s="245" t="e">
        <f t="shared" si="11"/>
        <v>#DIV/0!</v>
      </c>
    </row>
    <row r="63" spans="1:11" ht="60" x14ac:dyDescent="0.25">
      <c r="A63" s="10" t="str">
        <f>A39</f>
        <v>SI-PY7.  Evaluación, dotación y consolidación de los Centros de Documentación, archivística y bases de datos.</v>
      </c>
      <c r="B63" s="245" t="e">
        <f t="shared" si="10"/>
        <v>#DIV/0!</v>
      </c>
      <c r="C63" s="245">
        <f>F39</f>
        <v>0</v>
      </c>
      <c r="D63" s="245" t="e">
        <f t="shared" si="11"/>
        <v>#DIV/0!</v>
      </c>
    </row>
    <row r="64" spans="1:11" ht="60" x14ac:dyDescent="0.25">
      <c r="A64" s="10" t="str">
        <f>A41</f>
        <v>SI-PY8.  Creación y Fortalecimiento de Centros, Institutos de investigación, desarrollo y vigilancia Tecnológica e Innovación.</v>
      </c>
      <c r="B64" s="245" t="e">
        <f t="shared" si="10"/>
        <v>#DIV/0!</v>
      </c>
      <c r="C64" s="245">
        <f>F41</f>
        <v>0</v>
      </c>
      <c r="D64" s="245" t="e">
        <f t="shared" si="11"/>
        <v>#DIV/0!</v>
      </c>
    </row>
    <row r="65" spans="1:4" ht="45" x14ac:dyDescent="0.25">
      <c r="A65" s="10" t="str">
        <f>A43</f>
        <v>SI-PY9.  Articulación y fortalecimiento de las publicaciones Científicas  y Académicas.</v>
      </c>
      <c r="B65" s="245" t="e">
        <f t="shared" si="10"/>
        <v>#DIV/0!</v>
      </c>
      <c r="C65" s="178">
        <f>F43</f>
        <v>0</v>
      </c>
      <c r="D65" s="245" t="e">
        <f t="shared" si="11"/>
        <v>#DIV/0!</v>
      </c>
    </row>
    <row r="66" spans="1:4" x14ac:dyDescent="0.25">
      <c r="A66" s="242" t="s">
        <v>592</v>
      </c>
      <c r="B66" s="178" t="e">
        <f>AVERAGE(B57:B65)</f>
        <v>#DIV/0!</v>
      </c>
      <c r="C66" s="178">
        <f>AVERAGE(C57:C65)</f>
        <v>0</v>
      </c>
      <c r="D66" s="178" t="e">
        <f>AVERAGE(D57:D65)</f>
        <v>#DIV/0!</v>
      </c>
    </row>
  </sheetData>
  <mergeCells count="36">
    <mergeCell ref="A6:F6"/>
    <mergeCell ref="A41:A42"/>
    <mergeCell ref="A43:A48"/>
    <mergeCell ref="E43:E48"/>
    <mergeCell ref="F43:F48"/>
    <mergeCell ref="E41:E42"/>
    <mergeCell ref="F41:F42"/>
    <mergeCell ref="A8:A12"/>
    <mergeCell ref="B8:B12"/>
    <mergeCell ref="E8:E12"/>
    <mergeCell ref="F8:F12"/>
    <mergeCell ref="F26:F27"/>
    <mergeCell ref="A22:A25"/>
    <mergeCell ref="B22:B25"/>
    <mergeCell ref="E22:E25"/>
    <mergeCell ref="F22:F25"/>
    <mergeCell ref="A13:A21"/>
    <mergeCell ref="B13:B21"/>
    <mergeCell ref="E13:E21"/>
    <mergeCell ref="F13:F21"/>
    <mergeCell ref="A36:A37"/>
    <mergeCell ref="B36:B37"/>
    <mergeCell ref="E36:E37"/>
    <mergeCell ref="F36:F37"/>
    <mergeCell ref="A29:A31"/>
    <mergeCell ref="B29:B31"/>
    <mergeCell ref="A32:A35"/>
    <mergeCell ref="B32:B35"/>
    <mergeCell ref="E32:E35"/>
    <mergeCell ref="A49:D49"/>
    <mergeCell ref="F32:F35"/>
    <mergeCell ref="E29:E30"/>
    <mergeCell ref="F29:F30"/>
    <mergeCell ref="A26:A27"/>
    <mergeCell ref="B26:B27"/>
    <mergeCell ref="E26:E27"/>
  </mergeCells>
  <conditionalFormatting sqref="B57:B61 B64:D65 C58:D61 D8:D37">
    <cfRule type="cellIs" dxfId="347" priority="409" operator="greaterThan">
      <formula>50%</formula>
    </cfRule>
    <cfRule type="cellIs" dxfId="346" priority="410" operator="between">
      <formula>37%</formula>
      <formula>50%</formula>
    </cfRule>
    <cfRule type="cellIs" dxfId="345" priority="411" operator="between">
      <formula>16%</formula>
      <formula>37%</formula>
    </cfRule>
    <cfRule type="cellIs" dxfId="344" priority="412" operator="lessThan">
      <formula>16%</formula>
    </cfRule>
  </conditionalFormatting>
  <conditionalFormatting sqref="E8">
    <cfRule type="cellIs" dxfId="343" priority="141" operator="greaterThan">
      <formula>50%</formula>
    </cfRule>
    <cfRule type="cellIs" dxfId="342" priority="142" operator="between">
      <formula>37%</formula>
      <formula>50%</formula>
    </cfRule>
    <cfRule type="cellIs" dxfId="341" priority="143" operator="between">
      <formula>16%</formula>
      <formula>37%</formula>
    </cfRule>
    <cfRule type="cellIs" dxfId="340" priority="144" operator="lessThan">
      <formula>16%</formula>
    </cfRule>
  </conditionalFormatting>
  <conditionalFormatting sqref="F8">
    <cfRule type="cellIs" dxfId="339" priority="137" operator="greaterThan">
      <formula>50%</formula>
    </cfRule>
    <cfRule type="cellIs" dxfId="338" priority="138" operator="between">
      <formula>37%</formula>
      <formula>50%</formula>
    </cfRule>
    <cfRule type="cellIs" dxfId="337" priority="139" operator="between">
      <formula>16%</formula>
      <formula>37%</formula>
    </cfRule>
    <cfRule type="cellIs" dxfId="336" priority="140" operator="lessThan">
      <formula>16%</formula>
    </cfRule>
  </conditionalFormatting>
  <conditionalFormatting sqref="E13">
    <cfRule type="cellIs" dxfId="335" priority="105" operator="greaterThan">
      <formula>50%</formula>
    </cfRule>
    <cfRule type="cellIs" dxfId="334" priority="106" operator="between">
      <formula>37%</formula>
      <formula>50%</formula>
    </cfRule>
    <cfRule type="cellIs" dxfId="333" priority="107" operator="between">
      <formula>16%</formula>
      <formula>37%</formula>
    </cfRule>
    <cfRule type="cellIs" dxfId="332" priority="108" operator="lessThan">
      <formula>16%</formula>
    </cfRule>
  </conditionalFormatting>
  <conditionalFormatting sqref="F13">
    <cfRule type="cellIs" dxfId="331" priority="101" operator="greaterThan">
      <formula>50%</formula>
    </cfRule>
    <cfRule type="cellIs" dxfId="330" priority="102" operator="between">
      <formula>37%</formula>
      <formula>50%</formula>
    </cfRule>
    <cfRule type="cellIs" dxfId="329" priority="103" operator="between">
      <formula>16%</formula>
      <formula>37%</formula>
    </cfRule>
    <cfRule type="cellIs" dxfId="328" priority="104" operator="lessThan">
      <formula>16%</formula>
    </cfRule>
  </conditionalFormatting>
  <conditionalFormatting sqref="E22">
    <cfRule type="cellIs" dxfId="327" priority="97" operator="greaterThan">
      <formula>50%</formula>
    </cfRule>
    <cfRule type="cellIs" dxfId="326" priority="98" operator="between">
      <formula>37%</formula>
      <formula>50%</formula>
    </cfRule>
    <cfRule type="cellIs" dxfId="325" priority="99" operator="between">
      <formula>16%</formula>
      <formula>37%</formula>
    </cfRule>
    <cfRule type="cellIs" dxfId="324" priority="100" operator="lessThan">
      <formula>16%</formula>
    </cfRule>
  </conditionalFormatting>
  <conditionalFormatting sqref="E26">
    <cfRule type="cellIs" dxfId="323" priority="93" operator="greaterThan">
      <formula>50%</formula>
    </cfRule>
    <cfRule type="cellIs" dxfId="322" priority="94" operator="between">
      <formula>37%</formula>
      <formula>50%</formula>
    </cfRule>
    <cfRule type="cellIs" dxfId="321" priority="95" operator="between">
      <formula>16%</formula>
      <formula>37%</formula>
    </cfRule>
    <cfRule type="cellIs" dxfId="320" priority="96" operator="lessThan">
      <formula>16%</formula>
    </cfRule>
  </conditionalFormatting>
  <conditionalFormatting sqref="E29 E31">
    <cfRule type="cellIs" dxfId="319" priority="89" operator="greaterThan">
      <formula>50%</formula>
    </cfRule>
    <cfRule type="cellIs" dxfId="318" priority="90" operator="between">
      <formula>37%</formula>
      <formula>50%</formula>
    </cfRule>
    <cfRule type="cellIs" dxfId="317" priority="91" operator="between">
      <formula>16%</formula>
      <formula>37%</formula>
    </cfRule>
    <cfRule type="cellIs" dxfId="316" priority="92" operator="lessThan">
      <formula>16%</formula>
    </cfRule>
  </conditionalFormatting>
  <conditionalFormatting sqref="E41">
    <cfRule type="cellIs" dxfId="315" priority="85" operator="greaterThan">
      <formula>50%</formula>
    </cfRule>
    <cfRule type="cellIs" dxfId="314" priority="86" operator="between">
      <formula>37%</formula>
      <formula>50%</formula>
    </cfRule>
    <cfRule type="cellIs" dxfId="313" priority="87" operator="between">
      <formula>16%</formula>
      <formula>37%</formula>
    </cfRule>
    <cfRule type="cellIs" dxfId="312" priority="88" operator="lessThan">
      <formula>16%</formula>
    </cfRule>
  </conditionalFormatting>
  <conditionalFormatting sqref="E43">
    <cfRule type="cellIs" dxfId="311" priority="81" operator="greaterThan">
      <formula>50%</formula>
    </cfRule>
    <cfRule type="cellIs" dxfId="310" priority="82" operator="between">
      <formula>37%</formula>
      <formula>50%</formula>
    </cfRule>
    <cfRule type="cellIs" dxfId="309" priority="83" operator="between">
      <formula>16%</formula>
      <formula>37%</formula>
    </cfRule>
    <cfRule type="cellIs" dxfId="308" priority="84" operator="lessThan">
      <formula>16%</formula>
    </cfRule>
  </conditionalFormatting>
  <conditionalFormatting sqref="F22">
    <cfRule type="cellIs" dxfId="307" priority="77" operator="greaterThan">
      <formula>50%</formula>
    </cfRule>
    <cfRule type="cellIs" dxfId="306" priority="78" operator="between">
      <formula>37%</formula>
      <formula>50%</formula>
    </cfRule>
    <cfRule type="cellIs" dxfId="305" priority="79" operator="between">
      <formula>16%</formula>
      <formula>37%</formula>
    </cfRule>
    <cfRule type="cellIs" dxfId="304" priority="80" operator="lessThan">
      <formula>16%</formula>
    </cfRule>
  </conditionalFormatting>
  <conditionalFormatting sqref="F26">
    <cfRule type="cellIs" dxfId="303" priority="73" operator="greaterThan">
      <formula>50%</formula>
    </cfRule>
    <cfRule type="cellIs" dxfId="302" priority="74" operator="between">
      <formula>37%</formula>
      <formula>50%</formula>
    </cfRule>
    <cfRule type="cellIs" dxfId="301" priority="75" operator="between">
      <formula>16%</formula>
      <formula>37%</formula>
    </cfRule>
    <cfRule type="cellIs" dxfId="300" priority="76" operator="lessThan">
      <formula>16%</formula>
    </cfRule>
  </conditionalFormatting>
  <conditionalFormatting sqref="F29 F31">
    <cfRule type="cellIs" dxfId="299" priority="69" operator="greaterThan">
      <formula>50%</formula>
    </cfRule>
    <cfRule type="cellIs" dxfId="298" priority="70" operator="between">
      <formula>37%</formula>
      <formula>50%</formula>
    </cfRule>
    <cfRule type="cellIs" dxfId="297" priority="71" operator="between">
      <formula>16%</formula>
      <formula>37%</formula>
    </cfRule>
    <cfRule type="cellIs" dxfId="296" priority="72" operator="lessThan">
      <formula>16%</formula>
    </cfRule>
  </conditionalFormatting>
  <conditionalFormatting sqref="C57:D57">
    <cfRule type="cellIs" dxfId="295" priority="53" operator="greaterThan">
      <formula>50%</formula>
    </cfRule>
    <cfRule type="cellIs" dxfId="294" priority="54" operator="between">
      <formula>37%</formula>
      <formula>50%</formula>
    </cfRule>
    <cfRule type="cellIs" dxfId="293" priority="55" operator="between">
      <formula>16%</formula>
      <formula>37%</formula>
    </cfRule>
    <cfRule type="cellIs" dxfId="292" priority="56" operator="lessThan">
      <formula>16%</formula>
    </cfRule>
  </conditionalFormatting>
  <conditionalFormatting sqref="F43">
    <cfRule type="cellIs" dxfId="291" priority="61" operator="greaterThan">
      <formula>50%</formula>
    </cfRule>
    <cfRule type="cellIs" dxfId="290" priority="62" operator="between">
      <formula>37%</formula>
      <formula>50%</formula>
    </cfRule>
    <cfRule type="cellIs" dxfId="289" priority="63" operator="between">
      <formula>16%</formula>
      <formula>37%</formula>
    </cfRule>
    <cfRule type="cellIs" dxfId="288" priority="64" operator="lessThan">
      <formula>16%</formula>
    </cfRule>
  </conditionalFormatting>
  <conditionalFormatting sqref="B66">
    <cfRule type="cellIs" dxfId="287" priority="41" operator="greaterThan">
      <formula>50%</formula>
    </cfRule>
    <cfRule type="cellIs" dxfId="286" priority="42" operator="between">
      <formula>37%</formula>
      <formula>50%</formula>
    </cfRule>
    <cfRule type="cellIs" dxfId="285" priority="43" operator="between">
      <formula>16%</formula>
      <formula>37%</formula>
    </cfRule>
    <cfRule type="cellIs" dxfId="284" priority="44" operator="lessThan">
      <formula>16%</formula>
    </cfRule>
  </conditionalFormatting>
  <conditionalFormatting sqref="C66:D66">
    <cfRule type="cellIs" dxfId="283" priority="37" operator="greaterThan">
      <formula>50%</formula>
    </cfRule>
    <cfRule type="cellIs" dxfId="282" priority="38" operator="between">
      <formula>37%</formula>
      <formula>50%</formula>
    </cfRule>
    <cfRule type="cellIs" dxfId="281" priority="39" operator="between">
      <formula>16%</formula>
      <formula>37%</formula>
    </cfRule>
    <cfRule type="cellIs" dxfId="280" priority="40" operator="lessThan">
      <formula>16%</formula>
    </cfRule>
  </conditionalFormatting>
  <conditionalFormatting sqref="D38:D48">
    <cfRule type="cellIs" dxfId="279" priority="33" operator="greaterThan">
      <formula>50%</formula>
    </cfRule>
    <cfRule type="cellIs" dxfId="278" priority="34" operator="between">
      <formula>37%</formula>
      <formula>50%</formula>
    </cfRule>
    <cfRule type="cellIs" dxfId="277" priority="35" operator="between">
      <formula>16%</formula>
      <formula>37%</formula>
    </cfRule>
    <cfRule type="cellIs" dxfId="276" priority="36" operator="lessThan">
      <formula>16%</formula>
    </cfRule>
  </conditionalFormatting>
  <conditionalFormatting sqref="F38:F39">
    <cfRule type="cellIs" dxfId="275" priority="25" operator="greaterThan">
      <formula>50%</formula>
    </cfRule>
    <cfRule type="cellIs" dxfId="274" priority="26" operator="between">
      <formula>37%</formula>
      <formula>50%</formula>
    </cfRule>
    <cfRule type="cellIs" dxfId="273" priority="27" operator="between">
      <formula>16%</formula>
      <formula>37%</formula>
    </cfRule>
    <cfRule type="cellIs" dxfId="272" priority="28" operator="lessThan">
      <formula>16%</formula>
    </cfRule>
  </conditionalFormatting>
  <conditionalFormatting sqref="F41">
    <cfRule type="cellIs" dxfId="271" priority="21" operator="greaterThan">
      <formula>50%</formula>
    </cfRule>
    <cfRule type="cellIs" dxfId="270" priority="22" operator="between">
      <formula>37%</formula>
      <formula>50%</formula>
    </cfRule>
    <cfRule type="cellIs" dxfId="269" priority="23" operator="between">
      <formula>16%</formula>
      <formula>37%</formula>
    </cfRule>
    <cfRule type="cellIs" dxfId="268" priority="24" operator="lessThan">
      <formula>16%</formula>
    </cfRule>
  </conditionalFormatting>
  <conditionalFormatting sqref="B62">
    <cfRule type="cellIs" dxfId="267" priority="5" operator="greaterThan">
      <formula>50%</formula>
    </cfRule>
    <cfRule type="cellIs" dxfId="266" priority="6" operator="between">
      <formula>37%</formula>
      <formula>50%</formula>
    </cfRule>
    <cfRule type="cellIs" dxfId="265" priority="7" operator="between">
      <formula>16%</formula>
      <formula>37%</formula>
    </cfRule>
    <cfRule type="cellIs" dxfId="264" priority="8" operator="lessThan">
      <formula>16%</formula>
    </cfRule>
  </conditionalFormatting>
  <conditionalFormatting sqref="B63">
    <cfRule type="cellIs" dxfId="263" priority="1" operator="greaterThan">
      <formula>50%</formula>
    </cfRule>
    <cfRule type="cellIs" dxfId="262" priority="2" operator="between">
      <formula>37%</formula>
      <formula>50%</formula>
    </cfRule>
    <cfRule type="cellIs" dxfId="261" priority="3" operator="between">
      <formula>16%</formula>
      <formula>37%</formula>
    </cfRule>
    <cfRule type="cellIs" dxfId="260" priority="4" operator="lessThan">
      <formula>16%</formula>
    </cfRule>
  </conditionalFormatting>
  <conditionalFormatting sqref="C62:D63">
    <cfRule type="cellIs" dxfId="259" priority="9" operator="greaterThan">
      <formula>50%</formula>
    </cfRule>
    <cfRule type="cellIs" dxfId="258" priority="10" operator="between">
      <formula>37%</formula>
      <formula>50%</formula>
    </cfRule>
    <cfRule type="cellIs" dxfId="257" priority="11" operator="between">
      <formula>16%</formula>
      <formula>37%</formula>
    </cfRule>
    <cfRule type="cellIs" dxfId="256" priority="12" operator="lessThan">
      <formula>16%</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7"/>
  <sheetViews>
    <sheetView workbookViewId="0">
      <selection activeCell="F8" sqref="F8:F27"/>
    </sheetView>
  </sheetViews>
  <sheetFormatPr baseColWidth="10" defaultRowHeight="15" x14ac:dyDescent="0.25"/>
  <cols>
    <col min="1" max="1" width="28.7109375" customWidth="1"/>
    <col min="2" max="2" width="14.42578125" customWidth="1"/>
    <col min="3" max="3" width="12.5703125" customWidth="1"/>
    <col min="4" max="4" width="17.140625" customWidth="1"/>
    <col min="5" max="5" width="11.85546875" bestFit="1" customWidth="1"/>
    <col min="6" max="6" width="13.7109375" customWidth="1"/>
    <col min="7" max="12" width="11.85546875" customWidth="1"/>
    <col min="13" max="13" width="13.42578125" customWidth="1"/>
    <col min="14" max="46" width="11.85546875" customWidth="1"/>
    <col min="48" max="49" width="11.42578125" style="55"/>
  </cols>
  <sheetData>
    <row r="2" spans="1:50" ht="15.75" thickBot="1" x14ac:dyDescent="0.3"/>
    <row r="3" spans="1:50" ht="15.75" x14ac:dyDescent="0.25">
      <c r="J3" s="578" t="s">
        <v>356</v>
      </c>
      <c r="K3" s="579"/>
      <c r="L3" s="579"/>
      <c r="M3" s="579"/>
      <c r="N3" s="580"/>
    </row>
    <row r="4" spans="1:50" ht="15.75" x14ac:dyDescent="0.25">
      <c r="J4" s="581" t="s">
        <v>385</v>
      </c>
      <c r="K4" s="582"/>
      <c r="L4" s="582"/>
      <c r="M4" s="582"/>
      <c r="N4" s="583"/>
    </row>
    <row r="5" spans="1:50" ht="16.5" thickBot="1" x14ac:dyDescent="0.3">
      <c r="J5" s="581" t="s">
        <v>384</v>
      </c>
      <c r="K5" s="582"/>
      <c r="L5" s="582"/>
      <c r="M5" s="582"/>
      <c r="N5" s="583"/>
      <c r="P5" s="171" t="s">
        <v>10</v>
      </c>
      <c r="Q5" s="135" t="s">
        <v>589</v>
      </c>
      <c r="R5" s="135" t="s">
        <v>588</v>
      </c>
    </row>
    <row r="6" spans="1:50" ht="20.25" thickBot="1" x14ac:dyDescent="0.35">
      <c r="A6" s="556" t="s">
        <v>376</v>
      </c>
      <c r="B6" s="556"/>
      <c r="C6" s="556"/>
      <c r="D6" s="556"/>
      <c r="E6" s="556"/>
      <c r="F6" s="556"/>
      <c r="J6" s="584" t="s">
        <v>10</v>
      </c>
      <c r="K6" s="585"/>
      <c r="L6" s="585"/>
      <c r="M6" s="135" t="s">
        <v>588</v>
      </c>
      <c r="N6" s="147" t="e">
        <f>E28</f>
        <v>#DIV/0!</v>
      </c>
      <c r="P6" t="str">
        <f>J34</f>
        <v>SF-PY1. Identidad con la Teleología Institucional.</v>
      </c>
      <c r="Q6" s="157">
        <f>M34</f>
        <v>1</v>
      </c>
      <c r="R6" s="157" t="e">
        <f>N34</f>
        <v>#DIV/0!</v>
      </c>
    </row>
    <row r="7" spans="1:50" s="55" customFormat="1" ht="45.75" thickBot="1" x14ac:dyDescent="0.3">
      <c r="A7" s="135" t="s">
        <v>377</v>
      </c>
      <c r="B7" s="137" t="s">
        <v>378</v>
      </c>
      <c r="C7" s="135" t="s">
        <v>379</v>
      </c>
      <c r="D7" s="137" t="s">
        <v>380</v>
      </c>
      <c r="E7" s="137" t="s">
        <v>381</v>
      </c>
      <c r="F7" s="137" t="s">
        <v>382</v>
      </c>
      <c r="J7" s="584"/>
      <c r="K7" s="585"/>
      <c r="L7" s="585"/>
      <c r="M7" s="135" t="s">
        <v>6</v>
      </c>
      <c r="N7" s="144" t="s">
        <v>5</v>
      </c>
      <c r="P7" t="str">
        <f>J36</f>
        <v>SF-PY2. Creación de nueva Oferta Académica en las Sedes.</v>
      </c>
      <c r="Q7" s="157">
        <f>M36</f>
        <v>1</v>
      </c>
      <c r="R7" s="157" t="e">
        <f>N36</f>
        <v>#DIV/0!</v>
      </c>
      <c r="W7" s="55" t="s">
        <v>579</v>
      </c>
      <c r="X7" s="55" t="s">
        <v>580</v>
      </c>
      <c r="Y7" s="55" t="s">
        <v>581</v>
      </c>
      <c r="Z7" s="55" t="s">
        <v>582</v>
      </c>
      <c r="AA7" s="55" t="s">
        <v>583</v>
      </c>
      <c r="AC7" s="138" t="s">
        <v>584</v>
      </c>
      <c r="AD7" s="138" t="s">
        <v>585</v>
      </c>
    </row>
    <row r="8" spans="1:50" ht="15.75" thickBot="1" x14ac:dyDescent="0.3">
      <c r="A8" s="596" t="s">
        <v>22</v>
      </c>
      <c r="B8" s="571">
        <v>0.2</v>
      </c>
      <c r="C8" s="1" t="s">
        <v>23</v>
      </c>
      <c r="D8" s="174" t="e">
        <f>'S. FORMACION'!#REF!</f>
        <v>#REF!</v>
      </c>
      <c r="E8" s="572" t="e">
        <f>$B$8*$AB$8</f>
        <v>#DIV/0!</v>
      </c>
      <c r="F8" s="561">
        <f>AE8</f>
        <v>0</v>
      </c>
      <c r="G8" s="56"/>
      <c r="H8" s="56"/>
      <c r="I8" s="56"/>
      <c r="J8" s="576" t="str">
        <f>A8</f>
        <v>SF-PY1. Identidad con la Teleología Institucional.</v>
      </c>
      <c r="K8" s="577"/>
      <c r="L8" s="577"/>
      <c r="M8" s="586" t="e">
        <f>AB8</f>
        <v>#DIV/0!</v>
      </c>
      <c r="N8" s="573">
        <f>F8</f>
        <v>0</v>
      </c>
      <c r="O8" s="56"/>
      <c r="P8" t="str">
        <f>J38</f>
        <v>SF-PY3. Desarrollo Profesoral Permanente en lo Pedagógico, Disciplinar y Profesional.</v>
      </c>
      <c r="Q8" s="157">
        <f>M38</f>
        <v>1</v>
      </c>
      <c r="R8" s="157" t="e">
        <f>N38</f>
        <v>#DIV/0!</v>
      </c>
      <c r="S8" s="56"/>
      <c r="T8" s="56"/>
      <c r="U8" s="56" t="e">
        <f>IF(D8&lt;16%,"Rojo",IF(D8&lt;37%,"Amarillo",IF(D8&lt;50.1%,"Verde","Azul")))</f>
        <v>#REF!</v>
      </c>
      <c r="V8" s="56" t="s">
        <v>573</v>
      </c>
      <c r="W8" s="56">
        <f>COUNTIF($U$8:$U$10,"Rojo")</f>
        <v>0</v>
      </c>
      <c r="X8" s="56">
        <f>COUNTIF($U$8:$U$10,"Amarillo")</f>
        <v>0</v>
      </c>
      <c r="Y8" s="56">
        <f>COUNTIF($U$8:$U$10,"Verde")</f>
        <v>0</v>
      </c>
      <c r="Z8" s="56">
        <f>COUNTIF($U$8:$U$10,"Azul")</f>
        <v>0</v>
      </c>
      <c r="AA8" s="56">
        <f>SUM(W8:Z8)</f>
        <v>0</v>
      </c>
      <c r="AB8" s="140" t="e">
        <f t="shared" ref="AB8:AB13" si="0">((100/AA8)*SUM(X8:Z8)/100)</f>
        <v>#DIV/0!</v>
      </c>
      <c r="AC8" s="139" t="e">
        <f>'S. FORMACION'!#REF!+'S. FORMACION'!#REF!+'S. FORMACION'!#REF!</f>
        <v>#REF!</v>
      </c>
      <c r="AD8" s="139" t="e">
        <f>'S. FORMACION'!#REF!+'S. FORMACION'!#REF!+'S. FORMACION'!#REF!</f>
        <v>#REF!</v>
      </c>
      <c r="AE8" s="141">
        <f>IFERROR(AD8/AC8,0)</f>
        <v>0</v>
      </c>
      <c r="AF8" s="56"/>
      <c r="AG8" s="56"/>
      <c r="AH8" s="56"/>
      <c r="AI8" s="56"/>
      <c r="AJ8" s="56"/>
      <c r="AK8" s="56"/>
      <c r="AL8" s="56"/>
      <c r="AM8" s="56"/>
      <c r="AN8" s="56"/>
      <c r="AO8" s="56"/>
      <c r="AP8" s="56"/>
      <c r="AQ8" s="56"/>
      <c r="AR8" s="56"/>
      <c r="AS8" s="56"/>
      <c r="AT8" s="56"/>
      <c r="AV8" s="22"/>
      <c r="AW8" s="22"/>
      <c r="AX8" s="38"/>
    </row>
    <row r="9" spans="1:50" ht="15.75" thickBot="1" x14ac:dyDescent="0.3">
      <c r="A9" s="597"/>
      <c r="B9" s="421"/>
      <c r="C9" s="1" t="s">
        <v>26</v>
      </c>
      <c r="D9" s="233" t="e">
        <f>'S. FORMACION'!#REF!</f>
        <v>#REF!</v>
      </c>
      <c r="E9" s="394"/>
      <c r="F9" s="394"/>
      <c r="G9" s="56"/>
      <c r="H9" s="56"/>
      <c r="I9" s="56"/>
      <c r="J9" s="576"/>
      <c r="K9" s="577"/>
      <c r="L9" s="577"/>
      <c r="M9" s="587"/>
      <c r="N9" s="574"/>
      <c r="O9" s="56"/>
      <c r="P9" t="str">
        <f>J40</f>
        <v>SF-PY4.  Autoevalución y Acreditación de Programas Académicos de Pregrado y Postgrado.</v>
      </c>
      <c r="Q9" s="157">
        <f>M40</f>
        <v>1</v>
      </c>
      <c r="R9" s="157" t="e">
        <f>N40</f>
        <v>#DIV/0!</v>
      </c>
      <c r="S9" s="56"/>
      <c r="T9" s="56"/>
      <c r="U9" s="56" t="e">
        <f t="shared" ref="U9:U27" si="1">IF(D9&lt;16%,"Rojo",IF(D9&lt;37%,"Amarillo",IF(D9&lt;50.1%,"Verde","Azul")))</f>
        <v>#REF!</v>
      </c>
      <c r="V9" s="56" t="s">
        <v>574</v>
      </c>
      <c r="W9" s="56">
        <f>COUNTIF($U$11,"Rojo")</f>
        <v>0</v>
      </c>
      <c r="X9" s="56">
        <f>COUNTIF($U$11,"Amarillo")</f>
        <v>0</v>
      </c>
      <c r="Y9" s="56">
        <f>COUNTIF($U$11,"Verde")</f>
        <v>0</v>
      </c>
      <c r="Z9" s="56">
        <f>COUNTIF($U$11,"Azul")</f>
        <v>0</v>
      </c>
      <c r="AA9" s="56">
        <f t="shared" ref="AA9:AA13" si="2">SUM(W9:Z9)</f>
        <v>0</v>
      </c>
      <c r="AB9" s="140" t="e">
        <f t="shared" si="0"/>
        <v>#DIV/0!</v>
      </c>
      <c r="AC9" s="139" t="e">
        <f>'S. FORMACION'!#REF!</f>
        <v>#REF!</v>
      </c>
      <c r="AD9" s="139" t="e">
        <f>'S. FORMACION'!#REF!</f>
        <v>#REF!</v>
      </c>
      <c r="AE9" s="141">
        <f t="shared" ref="AE9:AE13" si="3">IFERROR(AD9/AC9,0)</f>
        <v>0</v>
      </c>
      <c r="AF9" s="56"/>
      <c r="AG9" s="56"/>
      <c r="AH9" s="56"/>
      <c r="AI9" s="56"/>
      <c r="AJ9" s="56"/>
      <c r="AK9" s="56"/>
      <c r="AL9" s="56"/>
      <c r="AM9" s="56"/>
      <c r="AN9" s="56"/>
      <c r="AO9" s="56"/>
      <c r="AP9" s="56"/>
      <c r="AQ9" s="56"/>
      <c r="AR9" s="56"/>
      <c r="AS9" s="56"/>
      <c r="AT9" s="56"/>
      <c r="AV9" s="22"/>
      <c r="AW9" s="22"/>
      <c r="AX9" s="38"/>
    </row>
    <row r="10" spans="1:50" ht="15" customHeight="1" thickBot="1" x14ac:dyDescent="0.3">
      <c r="A10" s="598"/>
      <c r="B10" s="422"/>
      <c r="C10" s="1" t="s">
        <v>29</v>
      </c>
      <c r="D10" s="233" t="e">
        <f>'S. FORMACION'!#REF!</f>
        <v>#REF!</v>
      </c>
      <c r="E10" s="394"/>
      <c r="F10" s="394"/>
      <c r="G10" s="56"/>
      <c r="H10" s="56"/>
      <c r="I10" s="56"/>
      <c r="J10" s="576" t="str">
        <f>A11</f>
        <v>SF-PY2. Creación de nueva Oferta Académica en las Sedes.</v>
      </c>
      <c r="K10" s="577"/>
      <c r="L10" s="577"/>
      <c r="M10" s="573" t="e">
        <f>AB9</f>
        <v>#DIV/0!</v>
      </c>
      <c r="N10" s="573">
        <f>F11</f>
        <v>0</v>
      </c>
      <c r="O10" s="56"/>
      <c r="P10" t="str">
        <f>J43</f>
        <v>SF-PY5.  Acreditación de Alta Calidad de la Universidad</v>
      </c>
      <c r="Q10" s="157">
        <f>M40</f>
        <v>1</v>
      </c>
      <c r="R10" s="157" t="e">
        <f>N40</f>
        <v>#DIV/0!</v>
      </c>
      <c r="S10" s="56"/>
      <c r="T10" s="56"/>
      <c r="U10" s="56" t="e">
        <f t="shared" si="1"/>
        <v>#REF!</v>
      </c>
      <c r="V10" s="56" t="s">
        <v>575</v>
      </c>
      <c r="W10" s="56">
        <f>COUNTIF($U$12:$U$15,"Rojo")</f>
        <v>0</v>
      </c>
      <c r="X10" s="56">
        <f>COUNTIF($U$12:$U$15,"Amarillo")</f>
        <v>0</v>
      </c>
      <c r="Y10" s="56">
        <f>COUNTIF($U$12:$U$15,"Verde")</f>
        <v>0</v>
      </c>
      <c r="Z10" s="56">
        <f>COUNTIF($U$12:$U$15,"Azul")</f>
        <v>0</v>
      </c>
      <c r="AA10" s="56">
        <f t="shared" si="2"/>
        <v>0</v>
      </c>
      <c r="AB10" s="140" t="e">
        <f t="shared" si="0"/>
        <v>#DIV/0!</v>
      </c>
      <c r="AC10" s="139" t="e">
        <f>'S. FORMACION'!#REF!+'S. FORMACION'!#REF!+'S. FORMACION'!#REF!+'S. FORMACION'!#REF!</f>
        <v>#REF!</v>
      </c>
      <c r="AD10" s="139" t="e">
        <f>'S. FORMACION'!#REF!+'S. FORMACION'!#REF!+'S. FORMACION'!#REF!+'S. FORMACION'!#REF!</f>
        <v>#REF!</v>
      </c>
      <c r="AE10" s="141">
        <f t="shared" si="3"/>
        <v>0</v>
      </c>
      <c r="AF10" s="56"/>
      <c r="AG10" s="56"/>
      <c r="AH10" s="56"/>
      <c r="AI10" s="56"/>
      <c r="AJ10" s="56"/>
      <c r="AK10" s="56"/>
      <c r="AL10" s="56"/>
      <c r="AM10" s="56"/>
      <c r="AN10" s="56"/>
      <c r="AO10" s="56"/>
      <c r="AP10" s="56"/>
      <c r="AQ10" s="56"/>
      <c r="AR10" s="56"/>
      <c r="AS10" s="56"/>
      <c r="AT10" s="56"/>
    </row>
    <row r="11" spans="1:50" ht="30.75" customHeight="1" thickBot="1" x14ac:dyDescent="0.3">
      <c r="A11" s="134" t="s">
        <v>32</v>
      </c>
      <c r="B11" s="57">
        <v>0.05</v>
      </c>
      <c r="C11" s="1" t="s">
        <v>33</v>
      </c>
      <c r="D11" s="233" t="e">
        <f>'S. FORMACION'!#REF!</f>
        <v>#REF!</v>
      </c>
      <c r="E11" s="184" t="e">
        <f>$B$11*$AB$9</f>
        <v>#DIV/0!</v>
      </c>
      <c r="F11" s="142">
        <f>AE9</f>
        <v>0</v>
      </c>
      <c r="G11" s="56"/>
      <c r="H11" s="56"/>
      <c r="I11" s="56"/>
      <c r="J11" s="576"/>
      <c r="K11" s="577"/>
      <c r="L11" s="577"/>
      <c r="M11" s="574"/>
      <c r="N11" s="574"/>
      <c r="O11" s="56"/>
      <c r="P11" t="str">
        <f>J45</f>
        <v>SF-PY7. Fortalecimiento de los Vínculos Universidad - Egresados.</v>
      </c>
      <c r="Q11" s="157">
        <f>M45</f>
        <v>1</v>
      </c>
      <c r="R11" s="157" t="e">
        <f>N45</f>
        <v>#DIV/0!</v>
      </c>
      <c r="S11" s="56"/>
      <c r="T11" s="56"/>
      <c r="U11" s="56" t="e">
        <f t="shared" si="1"/>
        <v>#REF!</v>
      </c>
      <c r="V11" s="56" t="s">
        <v>576</v>
      </c>
      <c r="W11" s="56">
        <f>COUNTIF($U$16:$U$20,"Rojo")</f>
        <v>0</v>
      </c>
      <c r="X11" s="56">
        <f>COUNTIF($U$16:$U$20,"Amarillo")</f>
        <v>0</v>
      </c>
      <c r="Y11" s="56">
        <f>COUNTIF($U$16:$U$20,"Verde")</f>
        <v>0</v>
      </c>
      <c r="Z11" s="56">
        <f>COUNTIF($U$16:$U$20,"Azul")</f>
        <v>0</v>
      </c>
      <c r="AA11" s="56">
        <f t="shared" si="2"/>
        <v>0</v>
      </c>
      <c r="AB11" s="140" t="e">
        <f t="shared" si="0"/>
        <v>#DIV/0!</v>
      </c>
      <c r="AC11" s="139" t="e">
        <f>'S. FORMACION'!#REF!+'S. FORMACION'!#REF!+'S. FORMACION'!#REF!+'S. FORMACION'!#REF!+'S. FORMACION'!#REF!</f>
        <v>#REF!</v>
      </c>
      <c r="AD11" s="139" t="e">
        <f>'S. FORMACION'!#REF!+'S. FORMACION'!#REF!+'S. FORMACION'!#REF!+'S. FORMACION'!#REF!+'S. FORMACION'!#REF!</f>
        <v>#REF!</v>
      </c>
      <c r="AE11" s="141">
        <f t="shared" si="3"/>
        <v>0</v>
      </c>
      <c r="AF11" s="56"/>
      <c r="AG11" s="56"/>
      <c r="AH11" s="56"/>
      <c r="AI11" s="56"/>
      <c r="AJ11" s="56"/>
      <c r="AK11" s="56"/>
      <c r="AL11" s="56"/>
      <c r="AM11" s="56"/>
      <c r="AN11" s="56"/>
      <c r="AO11" s="56"/>
      <c r="AP11" s="56"/>
      <c r="AQ11" s="56"/>
      <c r="AR11" s="56"/>
      <c r="AS11" s="56"/>
      <c r="AT11" s="56"/>
      <c r="AV11" s="22"/>
      <c r="AW11" s="22"/>
    </row>
    <row r="12" spans="1:50" x14ac:dyDescent="0.25">
      <c r="A12" s="596" t="s">
        <v>36</v>
      </c>
      <c r="B12" s="571">
        <v>0.25</v>
      </c>
      <c r="C12" s="9" t="s">
        <v>37</v>
      </c>
      <c r="D12" s="233" t="e">
        <f>'S. FORMACION'!#REF!</f>
        <v>#REF!</v>
      </c>
      <c r="E12" s="394" t="e">
        <f>$B$12*$AB$10</f>
        <v>#DIV/0!</v>
      </c>
      <c r="F12" s="561">
        <f>AE10</f>
        <v>0</v>
      </c>
      <c r="G12" s="56"/>
      <c r="H12" s="56"/>
      <c r="I12" s="56"/>
      <c r="J12" s="576" t="str">
        <f>A12</f>
        <v>SF-PY3. Desarrollo Profesoral Permanente en lo Pedagógico, Disciplinar y Profesional.</v>
      </c>
      <c r="K12" s="577"/>
      <c r="L12" s="577"/>
      <c r="M12" s="573" t="e">
        <f>AB10</f>
        <v>#DIV/0!</v>
      </c>
      <c r="N12" s="573">
        <f>F12</f>
        <v>0</v>
      </c>
      <c r="O12" s="56"/>
      <c r="Q12" s="56"/>
      <c r="R12" s="56"/>
      <c r="S12" s="56"/>
      <c r="T12" s="56"/>
      <c r="U12" s="56" t="e">
        <f t="shared" si="1"/>
        <v>#REF!</v>
      </c>
      <c r="V12" s="56" t="s">
        <v>577</v>
      </c>
      <c r="W12" s="56">
        <f>COUNTIF($U$21:$U$22,"Rojo")</f>
        <v>0</v>
      </c>
      <c r="X12" s="56">
        <f>COUNTIF($U$21:$U$22,"Amarillo")</f>
        <v>0</v>
      </c>
      <c r="Y12" s="56">
        <f>COUNTIF($U$21:$U$22,"Verde")</f>
        <v>0</v>
      </c>
      <c r="Z12" s="56">
        <f>COUNTIF($U$21:$U$22,"Azul")</f>
        <v>0</v>
      </c>
      <c r="AA12" s="56">
        <f t="shared" ref="AA12" si="4">SUM(W12:Z12)</f>
        <v>0</v>
      </c>
      <c r="AB12" s="140" t="e">
        <f t="shared" si="0"/>
        <v>#DIV/0!</v>
      </c>
      <c r="AC12" s="139" t="e">
        <f>'S. FORMACION'!#REF!+'S. FORMACION'!#REF!</f>
        <v>#REF!</v>
      </c>
      <c r="AD12" s="139" t="e">
        <f>'S. FORMACION'!#REF!+'S. FORMACION'!#REF!</f>
        <v>#REF!</v>
      </c>
      <c r="AE12" s="141">
        <f t="shared" si="3"/>
        <v>0</v>
      </c>
      <c r="AF12" s="56"/>
      <c r="AG12" s="56"/>
      <c r="AH12" s="56"/>
      <c r="AI12" s="56"/>
      <c r="AJ12" s="56"/>
      <c r="AK12" s="56"/>
      <c r="AL12" s="56"/>
      <c r="AM12" s="56"/>
      <c r="AN12" s="56"/>
      <c r="AO12" s="56"/>
      <c r="AP12" s="56"/>
      <c r="AQ12" s="56"/>
      <c r="AR12" s="56"/>
      <c r="AS12" s="56"/>
      <c r="AT12" s="56"/>
      <c r="AV12" s="22"/>
      <c r="AW12" s="22"/>
      <c r="AX12" s="38"/>
    </row>
    <row r="13" spans="1:50" x14ac:dyDescent="0.25">
      <c r="A13" s="597"/>
      <c r="B13" s="421"/>
      <c r="C13" s="1" t="s">
        <v>40</v>
      </c>
      <c r="D13" s="233" t="e">
        <f>'S. FORMACION'!#REF!</f>
        <v>#REF!</v>
      </c>
      <c r="E13" s="394"/>
      <c r="F13" s="394"/>
      <c r="G13" s="56"/>
      <c r="H13" s="56"/>
      <c r="I13" s="56"/>
      <c r="J13" s="576"/>
      <c r="K13" s="577"/>
      <c r="L13" s="577"/>
      <c r="M13" s="574"/>
      <c r="N13" s="574"/>
      <c r="O13" s="56"/>
      <c r="P13" s="56"/>
      <c r="Q13" s="56"/>
      <c r="R13" s="56"/>
      <c r="S13" s="56"/>
      <c r="T13" s="56"/>
      <c r="U13" s="56" t="e">
        <f t="shared" si="1"/>
        <v>#REF!</v>
      </c>
      <c r="V13" s="56" t="s">
        <v>586</v>
      </c>
      <c r="W13" s="56">
        <f>COUNTIF($U$23:$U$24,"Rojo")</f>
        <v>0</v>
      </c>
      <c r="X13" s="56">
        <f>COUNTIF($U$23:$U$24,"Amarillo")</f>
        <v>0</v>
      </c>
      <c r="Y13" s="56">
        <f>COUNTIF($U$23:$U$24,"Verde")</f>
        <v>0</v>
      </c>
      <c r="Z13" s="56">
        <f>COUNTIF($U$23:$U$24,"Azul")</f>
        <v>0</v>
      </c>
      <c r="AA13" s="56">
        <f t="shared" si="2"/>
        <v>0</v>
      </c>
      <c r="AB13" s="140" t="e">
        <f t="shared" si="0"/>
        <v>#DIV/0!</v>
      </c>
      <c r="AC13" s="139" t="e">
        <f>'S. FORMACION'!#REF!+'S. FORMACION'!#REF!</f>
        <v>#REF!</v>
      </c>
      <c r="AD13" s="139" t="e">
        <f>'S. FORMACION'!#REF!+'S. FORMACION'!#REF!</f>
        <v>#REF!</v>
      </c>
      <c r="AE13" s="141">
        <f t="shared" si="3"/>
        <v>0</v>
      </c>
      <c r="AF13" s="56"/>
      <c r="AG13" s="56"/>
      <c r="AH13" s="56"/>
      <c r="AI13" s="56"/>
      <c r="AJ13" s="56"/>
      <c r="AK13" s="56"/>
      <c r="AL13" s="56"/>
      <c r="AM13" s="56"/>
      <c r="AN13" s="56"/>
      <c r="AO13" s="56"/>
      <c r="AP13" s="56"/>
      <c r="AQ13" s="56"/>
      <c r="AR13" s="56"/>
      <c r="AS13" s="56"/>
      <c r="AT13" s="56"/>
      <c r="AV13" s="22"/>
      <c r="AW13" s="22"/>
      <c r="AX13" s="38"/>
    </row>
    <row r="14" spans="1:50" ht="15" customHeight="1" x14ac:dyDescent="0.25">
      <c r="A14" s="597"/>
      <c r="B14" s="421"/>
      <c r="C14" s="1" t="s">
        <v>43</v>
      </c>
      <c r="D14" s="233" t="e">
        <f>'S. FORMACION'!#REF!</f>
        <v>#REF!</v>
      </c>
      <c r="E14" s="394"/>
      <c r="F14" s="394"/>
      <c r="G14" s="56"/>
      <c r="H14" s="56"/>
      <c r="I14" s="56"/>
      <c r="J14" s="576" t="str">
        <f>A16</f>
        <v>SF-PY4.  Autoevalución y Acreditación de Programas Académicos de Pregrado y Postgrado.</v>
      </c>
      <c r="K14" s="577"/>
      <c r="L14" s="577"/>
      <c r="M14" s="573" t="e">
        <f>AB11</f>
        <v>#DIV/0!</v>
      </c>
      <c r="N14" s="573">
        <f>F16</f>
        <v>0</v>
      </c>
      <c r="O14" s="56"/>
      <c r="P14" s="56"/>
      <c r="Q14" s="56"/>
      <c r="R14" s="56"/>
      <c r="S14" s="56"/>
      <c r="T14" s="56"/>
      <c r="U14" s="56" t="e">
        <f t="shared" si="1"/>
        <v>#REF!</v>
      </c>
      <c r="V14" s="56" t="s">
        <v>578</v>
      </c>
      <c r="W14" s="56">
        <f>COUNTIF($U$25:$U$27,"Rojo")</f>
        <v>0</v>
      </c>
      <c r="X14" s="56">
        <f>COUNTIF($U$25:$U$27,"Amarillo")</f>
        <v>0</v>
      </c>
      <c r="Y14" s="56">
        <f>COUNTIF($U$25:$U$27,"Verde")</f>
        <v>0</v>
      </c>
      <c r="Z14" s="56">
        <f>COUNTIF($U$25:$U$27,"Azul")</f>
        <v>0</v>
      </c>
      <c r="AA14" s="56">
        <f t="shared" ref="AA14" si="5">SUM(W14:Z14)</f>
        <v>0</v>
      </c>
      <c r="AB14" s="140" t="e">
        <f t="shared" ref="AB14" si="6">((100/AA14)*SUM(X14:Z14)/100)</f>
        <v>#DIV/0!</v>
      </c>
      <c r="AC14" s="139" t="e">
        <f>'S. FORMACION'!#REF!+'S. FORMACION'!#REF!+'S. FORMACION'!#REF!</f>
        <v>#REF!</v>
      </c>
      <c r="AD14" s="139" t="e">
        <f>'S. FORMACION'!#REF!+'S. FORMACION'!#REF!+'S. FORMACION'!#REF!</f>
        <v>#REF!</v>
      </c>
      <c r="AE14" s="141">
        <f t="shared" ref="AE14" si="7">IFERROR(AD14/AC14,0)</f>
        <v>0</v>
      </c>
      <c r="AF14" s="56"/>
      <c r="AG14" s="56"/>
      <c r="AH14" s="56"/>
      <c r="AI14" s="56"/>
      <c r="AJ14" s="56"/>
      <c r="AK14" s="56"/>
      <c r="AL14" s="56"/>
      <c r="AM14" s="56"/>
      <c r="AN14" s="56"/>
      <c r="AO14" s="56"/>
      <c r="AP14" s="56"/>
      <c r="AQ14" s="56"/>
      <c r="AR14" s="56"/>
      <c r="AS14" s="56"/>
      <c r="AT14" s="56"/>
    </row>
    <row r="15" spans="1:50" x14ac:dyDescent="0.25">
      <c r="A15" s="598"/>
      <c r="B15" s="422"/>
      <c r="C15" s="1" t="s">
        <v>45</v>
      </c>
      <c r="D15" s="233" t="e">
        <f>'S. FORMACION'!#REF!</f>
        <v>#REF!</v>
      </c>
      <c r="E15" s="394"/>
      <c r="F15" s="394"/>
      <c r="G15" s="56"/>
      <c r="H15" s="56"/>
      <c r="I15" s="56"/>
      <c r="J15" s="576"/>
      <c r="K15" s="577"/>
      <c r="L15" s="577"/>
      <c r="M15" s="575"/>
      <c r="N15" s="575"/>
      <c r="O15" s="56"/>
      <c r="P15" s="56"/>
      <c r="Q15" s="56"/>
      <c r="R15" s="56"/>
      <c r="S15" s="56"/>
      <c r="T15" s="56"/>
      <c r="U15" s="56" t="e">
        <f t="shared" si="1"/>
        <v>#REF!</v>
      </c>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row>
    <row r="16" spans="1:50" ht="20.25" customHeight="1" x14ac:dyDescent="0.25">
      <c r="A16" s="596" t="s">
        <v>50</v>
      </c>
      <c r="B16" s="571">
        <v>0.2</v>
      </c>
      <c r="C16" s="9" t="s">
        <v>51</v>
      </c>
      <c r="D16" s="233" t="e">
        <f>'S. FORMACION'!#REF!</f>
        <v>#REF!</v>
      </c>
      <c r="E16" s="394" t="e">
        <f>$B$16*$AB$11</f>
        <v>#DIV/0!</v>
      </c>
      <c r="F16" s="561">
        <f>AE11</f>
        <v>0</v>
      </c>
      <c r="G16" s="56"/>
      <c r="H16" s="56"/>
      <c r="I16" s="56"/>
      <c r="J16" s="576"/>
      <c r="K16" s="577"/>
      <c r="L16" s="577"/>
      <c r="M16" s="574"/>
      <c r="N16" s="574"/>
      <c r="O16" s="56"/>
      <c r="P16" s="56"/>
      <c r="Q16" s="56"/>
      <c r="R16" s="56"/>
      <c r="S16" s="56"/>
      <c r="T16" s="56"/>
      <c r="U16" s="56" t="e">
        <f t="shared" si="1"/>
        <v>#REF!</v>
      </c>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V16" s="22"/>
      <c r="AW16" s="22"/>
      <c r="AX16" s="38"/>
    </row>
    <row r="17" spans="1:50" x14ac:dyDescent="0.25">
      <c r="A17" s="597"/>
      <c r="B17" s="421"/>
      <c r="C17" s="1" t="s">
        <v>55</v>
      </c>
      <c r="D17" s="233" t="e">
        <f>'S. FORMACION'!#REF!</f>
        <v>#REF!</v>
      </c>
      <c r="E17" s="394"/>
      <c r="F17" s="394"/>
      <c r="G17" s="56"/>
      <c r="H17" s="56"/>
      <c r="I17" s="56"/>
      <c r="J17" s="576" t="str">
        <f>A21</f>
        <v>SF-PY5.  Acreditación de Alta Calidad de la Universidad</v>
      </c>
      <c r="K17" s="577"/>
      <c r="L17" s="577"/>
      <c r="M17" s="573" t="e">
        <f>AB12</f>
        <v>#DIV/0!</v>
      </c>
      <c r="N17" s="573">
        <f>F21</f>
        <v>0</v>
      </c>
      <c r="O17" s="56"/>
      <c r="P17" s="56"/>
      <c r="Q17" s="56"/>
      <c r="R17" s="56"/>
      <c r="S17" s="56"/>
      <c r="T17" s="56"/>
      <c r="U17" s="56" t="e">
        <f t="shared" si="1"/>
        <v>#REF!</v>
      </c>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V17" s="22"/>
      <c r="AW17" s="22"/>
      <c r="AX17" s="38"/>
    </row>
    <row r="18" spans="1:50" x14ac:dyDescent="0.25">
      <c r="A18" s="597"/>
      <c r="B18" s="421"/>
      <c r="C18" s="1" t="s">
        <v>58</v>
      </c>
      <c r="D18" s="233" t="e">
        <f>'S. FORMACION'!#REF!</f>
        <v>#REF!</v>
      </c>
      <c r="E18" s="394"/>
      <c r="F18" s="394"/>
      <c r="G18" s="56"/>
      <c r="H18" s="56"/>
      <c r="I18" s="56"/>
      <c r="J18" s="576"/>
      <c r="K18" s="577"/>
      <c r="L18" s="577"/>
      <c r="M18" s="574"/>
      <c r="N18" s="574"/>
      <c r="O18" s="56"/>
      <c r="P18" s="56"/>
      <c r="Q18" s="56"/>
      <c r="R18" s="56"/>
      <c r="S18" s="56"/>
      <c r="T18" s="56"/>
      <c r="U18" s="56" t="e">
        <f t="shared" si="1"/>
        <v>#REF!</v>
      </c>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row>
    <row r="19" spans="1:50" x14ac:dyDescent="0.25">
      <c r="A19" s="597"/>
      <c r="B19" s="421"/>
      <c r="C19" s="1" t="s">
        <v>60</v>
      </c>
      <c r="D19" s="233" t="e">
        <f>'S. FORMACION'!#REF!</f>
        <v>#REF!</v>
      </c>
      <c r="E19" s="394"/>
      <c r="F19" s="394"/>
      <c r="G19" s="56"/>
      <c r="H19" s="56"/>
      <c r="I19" s="56"/>
      <c r="J19" s="576" t="str">
        <f>A25</f>
        <v>SF-PY7. Fortalecimiento de los Vínculos Universidad - Egresados.</v>
      </c>
      <c r="K19" s="577"/>
      <c r="L19" s="577"/>
      <c r="M19" s="573" t="e">
        <f>AB13</f>
        <v>#DIV/0!</v>
      </c>
      <c r="N19" s="573">
        <f>F25</f>
        <v>0</v>
      </c>
      <c r="O19" s="56"/>
      <c r="P19" s="56"/>
      <c r="Q19" s="56"/>
      <c r="R19" s="56"/>
      <c r="S19" s="56"/>
      <c r="T19" s="56"/>
      <c r="U19" s="56" t="e">
        <f t="shared" si="1"/>
        <v>#REF!</v>
      </c>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row>
    <row r="20" spans="1:50" x14ac:dyDescent="0.25">
      <c r="A20" s="598"/>
      <c r="B20" s="422"/>
      <c r="C20" s="1" t="s">
        <v>63</v>
      </c>
      <c r="D20" s="233" t="e">
        <f>'S. FORMACION'!#REF!</f>
        <v>#REF!</v>
      </c>
      <c r="E20" s="394"/>
      <c r="F20" s="394"/>
      <c r="G20" s="56"/>
      <c r="H20" s="56"/>
      <c r="I20" s="56"/>
      <c r="J20" s="576"/>
      <c r="K20" s="577"/>
      <c r="L20" s="577"/>
      <c r="M20" s="574"/>
      <c r="N20" s="574"/>
      <c r="O20" s="56"/>
      <c r="P20" s="56"/>
      <c r="Q20" s="56"/>
      <c r="R20" s="56"/>
      <c r="S20" s="56"/>
      <c r="T20" s="56"/>
      <c r="U20" s="56" t="e">
        <f t="shared" si="1"/>
        <v>#REF!</v>
      </c>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row>
    <row r="21" spans="1:50" ht="22.5" customHeight="1" thickBot="1" x14ac:dyDescent="0.3">
      <c r="A21" s="570" t="s">
        <v>65</v>
      </c>
      <c r="B21" s="571">
        <v>0.2</v>
      </c>
      <c r="C21" s="9" t="s">
        <v>66</v>
      </c>
      <c r="D21" s="233" t="e">
        <f>'S. FORMACION'!#REF!</f>
        <v>#REF!</v>
      </c>
      <c r="E21" s="394" t="e">
        <f>$B$21*$AB$12</f>
        <v>#DIV/0!</v>
      </c>
      <c r="F21" s="561">
        <f>AE12</f>
        <v>0</v>
      </c>
      <c r="G21" s="56"/>
      <c r="H21" s="56"/>
      <c r="I21" s="56"/>
      <c r="J21" s="591" t="s">
        <v>587</v>
      </c>
      <c r="K21" s="592"/>
      <c r="L21" s="592"/>
      <c r="M21" s="145" t="e">
        <f>AVERAGE(M8:M20)</f>
        <v>#DIV/0!</v>
      </c>
      <c r="N21" s="146">
        <f>AVERAGE(N8:N20)</f>
        <v>0</v>
      </c>
      <c r="O21" s="56"/>
      <c r="P21" s="56"/>
      <c r="Q21" s="56"/>
      <c r="R21" s="56"/>
      <c r="S21" s="56"/>
      <c r="T21" s="56"/>
      <c r="U21" s="56" t="e">
        <f t="shared" si="1"/>
        <v>#REF!</v>
      </c>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V21" s="22"/>
      <c r="AW21" s="22"/>
      <c r="AX21" s="38"/>
    </row>
    <row r="22" spans="1:50" ht="24" customHeight="1" x14ac:dyDescent="0.25">
      <c r="A22" s="570"/>
      <c r="B22" s="422"/>
      <c r="C22" s="9" t="s">
        <v>68</v>
      </c>
      <c r="D22" s="233" t="e">
        <f>'S. FORMACION'!#REF!</f>
        <v>#REF!</v>
      </c>
      <c r="E22" s="394"/>
      <c r="F22" s="394"/>
      <c r="G22" s="56"/>
      <c r="H22" s="56"/>
      <c r="I22" s="56"/>
      <c r="J22" s="56"/>
      <c r="K22" s="56"/>
      <c r="L22" s="56"/>
      <c r="M22" s="56"/>
      <c r="N22" s="56"/>
      <c r="O22" s="56"/>
      <c r="P22" s="56"/>
      <c r="Q22" s="56"/>
      <c r="R22" s="56"/>
      <c r="S22" s="56"/>
      <c r="T22" s="56"/>
      <c r="U22" s="56" t="e">
        <f t="shared" si="1"/>
        <v>#REF!</v>
      </c>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V22" s="22"/>
      <c r="AW22" s="22"/>
      <c r="AX22" s="38"/>
    </row>
    <row r="23" spans="1:50" ht="15" customHeight="1" x14ac:dyDescent="0.25">
      <c r="A23" s="570" t="s">
        <v>73</v>
      </c>
      <c r="B23" s="571">
        <v>0.05</v>
      </c>
      <c r="C23" s="9" t="s">
        <v>74</v>
      </c>
      <c r="D23" s="233" t="e">
        <f>'S. FORMACION'!#REF!</f>
        <v>#REF!</v>
      </c>
      <c r="E23" s="572" t="e">
        <f>$B$23*$AB$13</f>
        <v>#DIV/0!</v>
      </c>
      <c r="F23" s="561">
        <f>AE13</f>
        <v>0</v>
      </c>
      <c r="G23" s="56"/>
      <c r="H23" s="56"/>
      <c r="I23" s="56"/>
      <c r="J23" s="56"/>
      <c r="K23" s="56"/>
      <c r="L23" s="56"/>
      <c r="M23" s="56"/>
      <c r="N23" s="56"/>
      <c r="O23" s="56"/>
      <c r="P23" s="56"/>
      <c r="Q23" s="56"/>
      <c r="R23" s="56"/>
      <c r="S23" s="56"/>
      <c r="T23" s="56"/>
      <c r="U23" s="56" t="e">
        <f t="shared" si="1"/>
        <v>#REF!</v>
      </c>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V23" s="22"/>
      <c r="AW23" s="22"/>
      <c r="AX23" s="38"/>
    </row>
    <row r="24" spans="1:50" x14ac:dyDescent="0.25">
      <c r="A24" s="570"/>
      <c r="B24" s="422"/>
      <c r="C24" s="9" t="s">
        <v>74</v>
      </c>
      <c r="D24" s="233" t="e">
        <f>'S. FORMACION'!#REF!</f>
        <v>#REF!</v>
      </c>
      <c r="E24" s="394"/>
      <c r="F24" s="394"/>
      <c r="G24" s="56"/>
      <c r="H24" s="56"/>
      <c r="I24" s="56"/>
      <c r="J24" s="56"/>
      <c r="K24" s="56"/>
      <c r="L24" s="56"/>
      <c r="M24" s="56"/>
      <c r="N24" s="56"/>
      <c r="O24" s="56"/>
      <c r="P24" s="56"/>
      <c r="Q24" s="56"/>
      <c r="R24" s="56"/>
      <c r="S24" s="56"/>
      <c r="T24" s="56"/>
      <c r="U24" s="56" t="e">
        <f t="shared" si="1"/>
        <v>#REF!</v>
      </c>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V24" s="22"/>
      <c r="AW24" s="22"/>
      <c r="AX24" s="38"/>
    </row>
    <row r="25" spans="1:50" x14ac:dyDescent="0.25">
      <c r="A25" s="570" t="s">
        <v>76</v>
      </c>
      <c r="B25" s="571">
        <v>0.05</v>
      </c>
      <c r="C25" s="1" t="s">
        <v>77</v>
      </c>
      <c r="D25" s="233" t="e">
        <f>'S. FORMACION'!#REF!</f>
        <v>#REF!</v>
      </c>
      <c r="E25" s="394" t="e">
        <f>$B$25*$AB$13</f>
        <v>#DIV/0!</v>
      </c>
      <c r="F25" s="561">
        <f>AE14</f>
        <v>0</v>
      </c>
      <c r="G25" s="56"/>
      <c r="H25" s="56"/>
      <c r="I25" s="56"/>
      <c r="J25" s="56"/>
      <c r="K25" s="56"/>
      <c r="L25" s="56"/>
      <c r="M25" s="56"/>
      <c r="N25" s="56"/>
      <c r="O25" s="56"/>
      <c r="P25" s="56"/>
      <c r="Q25" s="56"/>
      <c r="R25" s="56"/>
      <c r="S25" s="56"/>
      <c r="T25" s="56"/>
      <c r="U25" s="56" t="e">
        <f t="shared" si="1"/>
        <v>#REF!</v>
      </c>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row>
    <row r="26" spans="1:50" ht="30" customHeight="1" x14ac:dyDescent="0.25">
      <c r="A26" s="570"/>
      <c r="B26" s="421"/>
      <c r="C26" s="1" t="s">
        <v>79</v>
      </c>
      <c r="D26" s="233" t="e">
        <f>'S. FORMACION'!#REF!</f>
        <v>#REF!</v>
      </c>
      <c r="E26" s="394"/>
      <c r="F26" s="394"/>
      <c r="G26" s="56"/>
      <c r="H26" s="56"/>
      <c r="I26" s="56"/>
      <c r="J26" s="56"/>
      <c r="K26" s="56"/>
      <c r="L26" s="56"/>
      <c r="M26" s="56"/>
      <c r="N26" s="56"/>
      <c r="O26" s="56"/>
      <c r="P26" s="56"/>
      <c r="Q26" s="56"/>
      <c r="R26" s="56"/>
      <c r="S26" s="56"/>
      <c r="T26" s="56"/>
      <c r="U26" s="56" t="e">
        <f t="shared" si="1"/>
        <v>#REF!</v>
      </c>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row>
    <row r="27" spans="1:50" ht="30" customHeight="1" x14ac:dyDescent="0.25">
      <c r="A27" s="570"/>
      <c r="B27" s="422"/>
      <c r="C27" s="1" t="s">
        <v>82</v>
      </c>
      <c r="D27" s="233" t="e">
        <f>'S. FORMACION'!#REF!</f>
        <v>#REF!</v>
      </c>
      <c r="E27" s="394"/>
      <c r="F27" s="394"/>
      <c r="G27" s="56"/>
      <c r="H27" s="56"/>
      <c r="I27" s="56"/>
      <c r="J27" s="56"/>
      <c r="K27" s="56"/>
      <c r="L27" s="56"/>
      <c r="M27" s="56"/>
      <c r="N27" s="56"/>
      <c r="O27" s="56"/>
      <c r="P27" s="56"/>
      <c r="Q27" s="56"/>
      <c r="R27" s="56"/>
      <c r="S27" s="56"/>
      <c r="T27" s="56"/>
      <c r="U27" s="56" t="e">
        <f t="shared" si="1"/>
        <v>#REF!</v>
      </c>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row>
    <row r="28" spans="1:50" ht="30" customHeight="1" x14ac:dyDescent="0.25">
      <c r="A28" s="593" t="s">
        <v>383</v>
      </c>
      <c r="B28" s="594"/>
      <c r="C28" s="595"/>
      <c r="D28" s="250"/>
      <c r="E28" s="143" t="e">
        <f>AVERAGE(E8:E27)</f>
        <v>#DIV/0!</v>
      </c>
      <c r="F28" s="143">
        <f>AVERAGE(F8:F27)</f>
        <v>0</v>
      </c>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row>
    <row r="29" spans="1:50" ht="15.75" thickBot="1" x14ac:dyDescent="0.3">
      <c r="A29" s="58"/>
      <c r="B29" s="59"/>
      <c r="C29" s="60"/>
      <c r="D29" s="61"/>
      <c r="AV29" s="22"/>
      <c r="AW29" s="22"/>
    </row>
    <row r="30" spans="1:50" ht="15.75" x14ac:dyDescent="0.25">
      <c r="A30" s="58"/>
      <c r="B30" s="59"/>
      <c r="C30" s="60"/>
      <c r="D30" s="62"/>
      <c r="J30" s="578" t="s">
        <v>356</v>
      </c>
      <c r="K30" s="579"/>
      <c r="L30" s="579"/>
      <c r="M30" s="579"/>
      <c r="N30" s="580"/>
      <c r="AV30" s="22"/>
      <c r="AW30" s="22"/>
    </row>
    <row r="31" spans="1:50" ht="15.75" x14ac:dyDescent="0.25">
      <c r="A31" s="175" t="s">
        <v>377</v>
      </c>
      <c r="B31" s="175" t="s">
        <v>593</v>
      </c>
      <c r="C31" s="175" t="s">
        <v>594</v>
      </c>
      <c r="D31" s="175" t="s">
        <v>7</v>
      </c>
      <c r="J31" s="581" t="s">
        <v>385</v>
      </c>
      <c r="K31" s="582"/>
      <c r="L31" s="582"/>
      <c r="M31" s="582"/>
      <c r="N31" s="583"/>
    </row>
    <row r="32" spans="1:50" ht="30" x14ac:dyDescent="0.25">
      <c r="A32" s="10" t="str">
        <f>A8</f>
        <v>SF-PY1. Identidad con la Teleología Institucional.</v>
      </c>
      <c r="B32" s="176" t="e">
        <f>AB8</f>
        <v>#DIV/0!</v>
      </c>
      <c r="C32" s="176">
        <f>F8</f>
        <v>0</v>
      </c>
      <c r="D32" s="176" t="e">
        <f>(B32+C32)/2</f>
        <v>#DIV/0!</v>
      </c>
      <c r="J32" s="581" t="s">
        <v>384</v>
      </c>
      <c r="K32" s="582"/>
      <c r="L32" s="582"/>
      <c r="M32" s="582"/>
      <c r="N32" s="583"/>
    </row>
    <row r="33" spans="1:14" ht="45" x14ac:dyDescent="0.25">
      <c r="A33" s="10" t="str">
        <f>A11</f>
        <v>SF-PY2. Creación de nueva Oferta Académica en las Sedes.</v>
      </c>
      <c r="B33" s="234" t="e">
        <f t="shared" ref="B33:B38" si="8">AB9</f>
        <v>#DIV/0!</v>
      </c>
      <c r="C33" s="234">
        <f>F11</f>
        <v>0</v>
      </c>
      <c r="D33" s="176" t="e">
        <f t="shared" ref="D33:D36" si="9">(B33+C33)/2</f>
        <v>#DIV/0!</v>
      </c>
      <c r="J33" s="588" t="s">
        <v>10</v>
      </c>
      <c r="K33" s="589"/>
      <c r="L33" s="590"/>
      <c r="M33" s="135" t="s">
        <v>589</v>
      </c>
      <c r="N33" s="135" t="s">
        <v>588</v>
      </c>
    </row>
    <row r="34" spans="1:14" ht="45" x14ac:dyDescent="0.25">
      <c r="A34" s="10" t="str">
        <f>A12</f>
        <v>SF-PY3. Desarrollo Profesoral Permanente en lo Pedagógico, Disciplinar y Profesional.</v>
      </c>
      <c r="B34" s="234" t="e">
        <f t="shared" si="8"/>
        <v>#DIV/0!</v>
      </c>
      <c r="C34" s="234">
        <f>F12</f>
        <v>0</v>
      </c>
      <c r="D34" s="176" t="e">
        <f t="shared" si="9"/>
        <v>#DIV/0!</v>
      </c>
      <c r="J34" s="576" t="str">
        <f>J8</f>
        <v>SF-PY1. Identidad con la Teleología Institucional.</v>
      </c>
      <c r="K34" s="577"/>
      <c r="L34" s="577"/>
      <c r="M34" s="573">
        <v>1</v>
      </c>
      <c r="N34" s="566" t="e">
        <f>M8</f>
        <v>#DIV/0!</v>
      </c>
    </row>
    <row r="35" spans="1:14" ht="60" x14ac:dyDescent="0.25">
      <c r="A35" s="10" t="str">
        <f>A16</f>
        <v>SF-PY4.  Autoevalución y Acreditación de Programas Académicos de Pregrado y Postgrado.</v>
      </c>
      <c r="B35" s="234" t="e">
        <f t="shared" si="8"/>
        <v>#DIV/0!</v>
      </c>
      <c r="C35" s="234">
        <f>F16</f>
        <v>0</v>
      </c>
      <c r="D35" s="176" t="e">
        <f t="shared" si="9"/>
        <v>#DIV/0!</v>
      </c>
      <c r="J35" s="576"/>
      <c r="K35" s="577"/>
      <c r="L35" s="577"/>
      <c r="M35" s="574"/>
      <c r="N35" s="566"/>
    </row>
    <row r="36" spans="1:14" ht="30" x14ac:dyDescent="0.25">
      <c r="A36" s="10" t="str">
        <f>A21</f>
        <v>SF-PY5.  Acreditación de Alta Calidad de la Universidad</v>
      </c>
      <c r="B36" s="234" t="e">
        <f t="shared" si="8"/>
        <v>#DIV/0!</v>
      </c>
      <c r="C36" s="234">
        <f>F21</f>
        <v>0</v>
      </c>
      <c r="D36" s="176" t="e">
        <f t="shared" si="9"/>
        <v>#DIV/0!</v>
      </c>
      <c r="J36" s="576" t="str">
        <f>J10</f>
        <v>SF-PY2. Creación de nueva Oferta Académica en las Sedes.</v>
      </c>
      <c r="K36" s="577"/>
      <c r="L36" s="577"/>
      <c r="M36" s="573">
        <v>1</v>
      </c>
      <c r="N36" s="573" t="e">
        <f>M10</f>
        <v>#DIV/0!</v>
      </c>
    </row>
    <row r="37" spans="1:14" ht="30" x14ac:dyDescent="0.25">
      <c r="A37" s="10" t="str">
        <f>A23</f>
        <v>SF-PY6. Relevo Generacional con Excelencia Académica.</v>
      </c>
      <c r="B37" s="234" t="e">
        <f t="shared" si="8"/>
        <v>#DIV/0!</v>
      </c>
      <c r="C37" s="234">
        <f>F23</f>
        <v>0</v>
      </c>
      <c r="D37" s="234" t="e">
        <f t="shared" ref="D37" si="10">(B37+C37)/2</f>
        <v>#DIV/0!</v>
      </c>
      <c r="J37" s="576"/>
      <c r="K37" s="577"/>
      <c r="L37" s="577"/>
      <c r="M37" s="574"/>
      <c r="N37" s="574"/>
    </row>
    <row r="38" spans="1:14" ht="45" x14ac:dyDescent="0.25">
      <c r="A38" s="10" t="str">
        <f>A25</f>
        <v>SF-PY7. Fortalecimiento de los Vínculos Universidad - Egresados.</v>
      </c>
      <c r="B38" s="234" t="e">
        <f t="shared" si="8"/>
        <v>#DIV/0!</v>
      </c>
      <c r="C38" s="234">
        <f>F25</f>
        <v>0</v>
      </c>
      <c r="D38" s="176" t="e">
        <f>(B38+C38)/2</f>
        <v>#DIV/0!</v>
      </c>
      <c r="J38" s="576" t="str">
        <f>J12</f>
        <v>SF-PY3. Desarrollo Profesoral Permanente en lo Pedagógico, Disciplinar y Profesional.</v>
      </c>
      <c r="K38" s="577"/>
      <c r="L38" s="577"/>
      <c r="M38" s="573">
        <v>1</v>
      </c>
      <c r="N38" s="573" t="e">
        <f>M12</f>
        <v>#DIV/0!</v>
      </c>
    </row>
    <row r="39" spans="1:14" x14ac:dyDescent="0.25">
      <c r="A39" s="177" t="s">
        <v>592</v>
      </c>
      <c r="B39" s="176" t="e">
        <f>AVERAGE(B32:B38)</f>
        <v>#DIV/0!</v>
      </c>
      <c r="C39" s="176">
        <f>AVERAGE(C32:C38)</f>
        <v>0</v>
      </c>
      <c r="D39" s="176" t="e">
        <f>AVERAGE(D32:D38)</f>
        <v>#DIV/0!</v>
      </c>
      <c r="J39" s="576"/>
      <c r="K39" s="577"/>
      <c r="L39" s="577"/>
      <c r="M39" s="574"/>
      <c r="N39" s="574"/>
    </row>
    <row r="40" spans="1:14" x14ac:dyDescent="0.25">
      <c r="J40" s="576" t="str">
        <f>J14</f>
        <v>SF-PY4.  Autoevalución y Acreditación de Programas Académicos de Pregrado y Postgrado.</v>
      </c>
      <c r="K40" s="577"/>
      <c r="L40" s="577"/>
      <c r="M40" s="573">
        <v>1</v>
      </c>
      <c r="N40" s="573" t="e">
        <f>M14</f>
        <v>#DIV/0!</v>
      </c>
    </row>
    <row r="41" spans="1:14" x14ac:dyDescent="0.25">
      <c r="J41" s="576"/>
      <c r="K41" s="577"/>
      <c r="L41" s="577"/>
      <c r="M41" s="575"/>
      <c r="N41" s="575"/>
    </row>
    <row r="42" spans="1:14" x14ac:dyDescent="0.25">
      <c r="J42" s="576"/>
      <c r="K42" s="577"/>
      <c r="L42" s="577"/>
      <c r="M42" s="574"/>
      <c r="N42" s="574"/>
    </row>
    <row r="43" spans="1:14" x14ac:dyDescent="0.25">
      <c r="J43" s="576" t="str">
        <f>J17</f>
        <v>SF-PY5.  Acreditación de Alta Calidad de la Universidad</v>
      </c>
      <c r="K43" s="577"/>
      <c r="L43" s="577"/>
      <c r="M43" s="573">
        <v>0.66669999999999996</v>
      </c>
      <c r="N43" s="573" t="e">
        <f>M17</f>
        <v>#DIV/0!</v>
      </c>
    </row>
    <row r="44" spans="1:14" x14ac:dyDescent="0.25">
      <c r="J44" s="576"/>
      <c r="K44" s="577"/>
      <c r="L44" s="577"/>
      <c r="M44" s="574"/>
      <c r="N44" s="574"/>
    </row>
    <row r="45" spans="1:14" x14ac:dyDescent="0.25">
      <c r="J45" s="576" t="str">
        <f>J19</f>
        <v>SF-PY7. Fortalecimiento de los Vínculos Universidad - Egresados.</v>
      </c>
      <c r="K45" s="577"/>
      <c r="L45" s="577"/>
      <c r="M45" s="573">
        <v>1</v>
      </c>
      <c r="N45" s="573" t="e">
        <f>M19</f>
        <v>#DIV/0!</v>
      </c>
    </row>
    <row r="46" spans="1:14" x14ac:dyDescent="0.25">
      <c r="J46" s="576"/>
      <c r="K46" s="577"/>
      <c r="L46" s="577"/>
      <c r="M46" s="574"/>
      <c r="N46" s="574"/>
    </row>
    <row r="47" spans="1:14" ht="15.75" thickBot="1" x14ac:dyDescent="0.3">
      <c r="J47" s="591" t="s">
        <v>587</v>
      </c>
      <c r="K47" s="592"/>
      <c r="L47" s="592"/>
      <c r="M47" s="145">
        <f>AVERAGE(M34:M46)</f>
        <v>0.9444499999999999</v>
      </c>
      <c r="N47" s="146" t="e">
        <f>AVERAGE(N34:N46)</f>
        <v>#DIV/0!</v>
      </c>
    </row>
  </sheetData>
  <mergeCells count="72">
    <mergeCell ref="A12:A15"/>
    <mergeCell ref="B12:B15"/>
    <mergeCell ref="E12:E15"/>
    <mergeCell ref="F12:F15"/>
    <mergeCell ref="A6:F6"/>
    <mergeCell ref="A8:A10"/>
    <mergeCell ref="B8:B10"/>
    <mergeCell ref="E8:E10"/>
    <mergeCell ref="F8:F10"/>
    <mergeCell ref="A16:A20"/>
    <mergeCell ref="B16:B20"/>
    <mergeCell ref="E16:E20"/>
    <mergeCell ref="F16:F20"/>
    <mergeCell ref="A21:A22"/>
    <mergeCell ref="B21:B22"/>
    <mergeCell ref="E21:E22"/>
    <mergeCell ref="F21:F22"/>
    <mergeCell ref="J47:L47"/>
    <mergeCell ref="A25:A27"/>
    <mergeCell ref="B25:B27"/>
    <mergeCell ref="E25:E27"/>
    <mergeCell ref="F25:F27"/>
    <mergeCell ref="J43:L44"/>
    <mergeCell ref="J36:L37"/>
    <mergeCell ref="J40:L42"/>
    <mergeCell ref="A28:C28"/>
    <mergeCell ref="M43:M44"/>
    <mergeCell ref="N43:N44"/>
    <mergeCell ref="J45:L46"/>
    <mergeCell ref="M45:M46"/>
    <mergeCell ref="N45:N46"/>
    <mergeCell ref="J21:L21"/>
    <mergeCell ref="M19:M20"/>
    <mergeCell ref="N19:N20"/>
    <mergeCell ref="J19:L20"/>
    <mergeCell ref="J30:N30"/>
    <mergeCell ref="M40:M42"/>
    <mergeCell ref="N40:N42"/>
    <mergeCell ref="J31:N31"/>
    <mergeCell ref="J32:N32"/>
    <mergeCell ref="J34:L35"/>
    <mergeCell ref="M34:M35"/>
    <mergeCell ref="N34:N35"/>
    <mergeCell ref="J33:L33"/>
    <mergeCell ref="M36:M37"/>
    <mergeCell ref="N36:N37"/>
    <mergeCell ref="J38:L39"/>
    <mergeCell ref="N38:N39"/>
    <mergeCell ref="J3:N3"/>
    <mergeCell ref="J4:N4"/>
    <mergeCell ref="J5:N5"/>
    <mergeCell ref="N10:N11"/>
    <mergeCell ref="M10:M11"/>
    <mergeCell ref="J6:L7"/>
    <mergeCell ref="M8:M9"/>
    <mergeCell ref="N8:N9"/>
    <mergeCell ref="M14:M16"/>
    <mergeCell ref="N14:N16"/>
    <mergeCell ref="M17:M18"/>
    <mergeCell ref="N17:N18"/>
    <mergeCell ref="J8:L9"/>
    <mergeCell ref="J10:L11"/>
    <mergeCell ref="J12:L13"/>
    <mergeCell ref="J14:L16"/>
    <mergeCell ref="J17:L18"/>
    <mergeCell ref="M12:M13"/>
    <mergeCell ref="N12:N13"/>
    <mergeCell ref="F23:F24"/>
    <mergeCell ref="A23:A24"/>
    <mergeCell ref="B23:B24"/>
    <mergeCell ref="E23:E24"/>
    <mergeCell ref="M38:M39"/>
  </mergeCells>
  <conditionalFormatting sqref="N8">
    <cfRule type="cellIs" dxfId="255" priority="265" operator="greaterThan">
      <formula>50%</formula>
    </cfRule>
    <cfRule type="cellIs" dxfId="254" priority="266" operator="between">
      <formula>37%</formula>
      <formula>50%</formula>
    </cfRule>
    <cfRule type="cellIs" dxfId="253" priority="267" operator="between">
      <formula>16%</formula>
      <formula>37%</formula>
    </cfRule>
    <cfRule type="cellIs" dxfId="252" priority="268" operator="lessThan">
      <formula>16%</formula>
    </cfRule>
  </conditionalFormatting>
  <conditionalFormatting sqref="N10">
    <cfRule type="cellIs" dxfId="251" priority="161" operator="greaterThan">
      <formula>50%</formula>
    </cfRule>
    <cfRule type="cellIs" dxfId="250" priority="162" operator="between">
      <formula>37%</formula>
      <formula>50%</formula>
    </cfRule>
    <cfRule type="cellIs" dxfId="249" priority="163" operator="between">
      <formula>16%</formula>
      <formula>37%</formula>
    </cfRule>
    <cfRule type="cellIs" dxfId="248" priority="164" operator="lessThan">
      <formula>16%</formula>
    </cfRule>
  </conditionalFormatting>
  <conditionalFormatting sqref="N12">
    <cfRule type="cellIs" dxfId="247" priority="157" operator="greaterThan">
      <formula>50%</formula>
    </cfRule>
    <cfRule type="cellIs" dxfId="246" priority="158" operator="between">
      <formula>37%</formula>
      <formula>50%</formula>
    </cfRule>
    <cfRule type="cellIs" dxfId="245" priority="159" operator="between">
      <formula>16%</formula>
      <formula>37%</formula>
    </cfRule>
    <cfRule type="cellIs" dxfId="244" priority="160" operator="lessThan">
      <formula>16%</formula>
    </cfRule>
  </conditionalFormatting>
  <conditionalFormatting sqref="N14">
    <cfRule type="cellIs" dxfId="243" priority="153" operator="greaterThan">
      <formula>50%</formula>
    </cfRule>
    <cfRule type="cellIs" dxfId="242" priority="154" operator="between">
      <formula>37%</formula>
      <formula>50%</formula>
    </cfRule>
    <cfRule type="cellIs" dxfId="241" priority="155" operator="between">
      <formula>16%</formula>
      <formula>37%</formula>
    </cfRule>
    <cfRule type="cellIs" dxfId="240" priority="156" operator="lessThan">
      <formula>16%</formula>
    </cfRule>
  </conditionalFormatting>
  <conditionalFormatting sqref="N17">
    <cfRule type="cellIs" dxfId="239" priority="149" operator="greaterThan">
      <formula>50%</formula>
    </cfRule>
    <cfRule type="cellIs" dxfId="238" priority="150" operator="between">
      <formula>37%</formula>
      <formula>50%</formula>
    </cfRule>
    <cfRule type="cellIs" dxfId="237" priority="151" operator="between">
      <formula>16%</formula>
      <formula>37%</formula>
    </cfRule>
    <cfRule type="cellIs" dxfId="236" priority="152" operator="lessThan">
      <formula>16%</formula>
    </cfRule>
  </conditionalFormatting>
  <conditionalFormatting sqref="N19">
    <cfRule type="cellIs" dxfId="235" priority="145" operator="greaterThan">
      <formula>50%</formula>
    </cfRule>
    <cfRule type="cellIs" dxfId="234" priority="146" operator="between">
      <formula>37%</formula>
      <formula>50%</formula>
    </cfRule>
    <cfRule type="cellIs" dxfId="233" priority="147" operator="between">
      <formula>16%</formula>
      <formula>37%</formula>
    </cfRule>
    <cfRule type="cellIs" dxfId="232" priority="148" operator="lessThan">
      <formula>16%</formula>
    </cfRule>
  </conditionalFormatting>
  <conditionalFormatting sqref="M10">
    <cfRule type="cellIs" dxfId="231" priority="137" operator="greaterThan">
      <formula>50%</formula>
    </cfRule>
    <cfRule type="cellIs" dxfId="230" priority="138" operator="between">
      <formula>37%</formula>
      <formula>50%</formula>
    </cfRule>
    <cfRule type="cellIs" dxfId="229" priority="139" operator="between">
      <formula>16%</formula>
      <formula>37%</formula>
    </cfRule>
    <cfRule type="cellIs" dxfId="228" priority="140" operator="lessThan">
      <formula>16%</formula>
    </cfRule>
  </conditionalFormatting>
  <conditionalFormatting sqref="M12">
    <cfRule type="cellIs" dxfId="227" priority="133" operator="greaterThan">
      <formula>50%</formula>
    </cfRule>
    <cfRule type="cellIs" dxfId="226" priority="134" operator="between">
      <formula>37%</formula>
      <formula>50%</formula>
    </cfRule>
    <cfRule type="cellIs" dxfId="225" priority="135" operator="between">
      <formula>16%</formula>
      <formula>37%</formula>
    </cfRule>
    <cfRule type="cellIs" dxfId="224" priority="136" operator="lessThan">
      <formula>16%</formula>
    </cfRule>
  </conditionalFormatting>
  <conditionalFormatting sqref="M14">
    <cfRule type="cellIs" dxfId="223" priority="129" operator="greaterThan">
      <formula>50%</formula>
    </cfRule>
    <cfRule type="cellIs" dxfId="222" priority="130" operator="between">
      <formula>37%</formula>
      <formula>50%</formula>
    </cfRule>
    <cfRule type="cellIs" dxfId="221" priority="131" operator="between">
      <formula>16%</formula>
      <formula>37%</formula>
    </cfRule>
    <cfRule type="cellIs" dxfId="220" priority="132" operator="lessThan">
      <formula>16%</formula>
    </cfRule>
  </conditionalFormatting>
  <conditionalFormatting sqref="M17">
    <cfRule type="cellIs" dxfId="219" priority="125" operator="greaterThan">
      <formula>50%</formula>
    </cfRule>
    <cfRule type="cellIs" dxfId="218" priority="126" operator="between">
      <formula>37%</formula>
      <formula>50%</formula>
    </cfRule>
    <cfRule type="cellIs" dxfId="217" priority="127" operator="between">
      <formula>16%</formula>
      <formula>37%</formula>
    </cfRule>
    <cfRule type="cellIs" dxfId="216" priority="128" operator="lessThan">
      <formula>16%</formula>
    </cfRule>
  </conditionalFormatting>
  <conditionalFormatting sqref="M19">
    <cfRule type="cellIs" dxfId="215" priority="121" operator="greaterThan">
      <formula>50%</formula>
    </cfRule>
    <cfRule type="cellIs" dxfId="214" priority="122" operator="between">
      <formula>37%</formula>
      <formula>50%</formula>
    </cfRule>
    <cfRule type="cellIs" dxfId="213" priority="123" operator="between">
      <formula>16%</formula>
      <formula>37%</formula>
    </cfRule>
    <cfRule type="cellIs" dxfId="212" priority="124" operator="lessThan">
      <formula>16%</formula>
    </cfRule>
  </conditionalFormatting>
  <conditionalFormatting sqref="N36">
    <cfRule type="cellIs" dxfId="211" priority="109" operator="greaterThan">
      <formula>50%</formula>
    </cfRule>
    <cfRule type="cellIs" dxfId="210" priority="110" operator="between">
      <formula>37%</formula>
      <formula>50%</formula>
    </cfRule>
    <cfRule type="cellIs" dxfId="209" priority="111" operator="between">
      <formula>16%</formula>
      <formula>37%</formula>
    </cfRule>
    <cfRule type="cellIs" dxfId="208" priority="112" operator="lessThan">
      <formula>16%</formula>
    </cfRule>
  </conditionalFormatting>
  <conditionalFormatting sqref="N38">
    <cfRule type="cellIs" dxfId="207" priority="105" operator="greaterThan">
      <formula>50%</formula>
    </cfRule>
    <cfRule type="cellIs" dxfId="206" priority="106" operator="between">
      <formula>37%</formula>
      <formula>50%</formula>
    </cfRule>
    <cfRule type="cellIs" dxfId="205" priority="107" operator="between">
      <formula>16%</formula>
      <formula>37%</formula>
    </cfRule>
    <cfRule type="cellIs" dxfId="204" priority="108" operator="lessThan">
      <formula>16%</formula>
    </cfRule>
  </conditionalFormatting>
  <conditionalFormatting sqref="N40">
    <cfRule type="cellIs" dxfId="203" priority="101" operator="greaterThan">
      <formula>50%</formula>
    </cfRule>
    <cfRule type="cellIs" dxfId="202" priority="102" operator="between">
      <formula>37%</formula>
      <formula>50%</formula>
    </cfRule>
    <cfRule type="cellIs" dxfId="201" priority="103" operator="between">
      <formula>16%</formula>
      <formula>37%</formula>
    </cfRule>
    <cfRule type="cellIs" dxfId="200" priority="104" operator="lessThan">
      <formula>16%</formula>
    </cfRule>
  </conditionalFormatting>
  <conditionalFormatting sqref="N43">
    <cfRule type="cellIs" dxfId="199" priority="97" operator="greaterThan">
      <formula>50%</formula>
    </cfRule>
    <cfRule type="cellIs" dxfId="198" priority="98" operator="between">
      <formula>37%</formula>
      <formula>50%</formula>
    </cfRule>
    <cfRule type="cellIs" dxfId="197" priority="99" operator="between">
      <formula>16%</formula>
      <formula>37%</formula>
    </cfRule>
    <cfRule type="cellIs" dxfId="196" priority="100" operator="lessThan">
      <formula>16%</formula>
    </cfRule>
  </conditionalFormatting>
  <conditionalFormatting sqref="N45">
    <cfRule type="cellIs" dxfId="195" priority="93" operator="greaterThan">
      <formula>50%</formula>
    </cfRule>
    <cfRule type="cellIs" dxfId="194" priority="94" operator="between">
      <formula>37%</formula>
      <formula>50%</formula>
    </cfRule>
    <cfRule type="cellIs" dxfId="193" priority="95" operator="between">
      <formula>16%</formula>
      <formula>37%</formula>
    </cfRule>
    <cfRule type="cellIs" dxfId="192" priority="96" operator="lessThan">
      <formula>16%</formula>
    </cfRule>
  </conditionalFormatting>
  <conditionalFormatting sqref="M34">
    <cfRule type="cellIs" dxfId="191" priority="89" operator="greaterThan">
      <formula>50%</formula>
    </cfRule>
    <cfRule type="cellIs" dxfId="190" priority="90" operator="between">
      <formula>37%</formula>
      <formula>50%</formula>
    </cfRule>
    <cfRule type="cellIs" dxfId="189" priority="91" operator="between">
      <formula>16%</formula>
      <formula>37%</formula>
    </cfRule>
    <cfRule type="cellIs" dxfId="188" priority="92" operator="lessThan">
      <formula>16%</formula>
    </cfRule>
  </conditionalFormatting>
  <conditionalFormatting sqref="M36">
    <cfRule type="cellIs" dxfId="187" priority="85" operator="greaterThan">
      <formula>50%</formula>
    </cfRule>
    <cfRule type="cellIs" dxfId="186" priority="86" operator="between">
      <formula>37%</formula>
      <formula>50%</formula>
    </cfRule>
    <cfRule type="cellIs" dxfId="185" priority="87" operator="between">
      <formula>16%</formula>
      <formula>37%</formula>
    </cfRule>
    <cfRule type="cellIs" dxfId="184" priority="88" operator="lessThan">
      <formula>16%</formula>
    </cfRule>
  </conditionalFormatting>
  <conditionalFormatting sqref="M38">
    <cfRule type="cellIs" dxfId="183" priority="81" operator="greaterThan">
      <formula>50%</formula>
    </cfRule>
    <cfRule type="cellIs" dxfId="182" priority="82" operator="between">
      <formula>37%</formula>
      <formula>50%</formula>
    </cfRule>
    <cfRule type="cellIs" dxfId="181" priority="83" operator="between">
      <formula>16%</formula>
      <formula>37%</formula>
    </cfRule>
    <cfRule type="cellIs" dxfId="180" priority="84" operator="lessThan">
      <formula>16%</formula>
    </cfRule>
  </conditionalFormatting>
  <conditionalFormatting sqref="M40">
    <cfRule type="cellIs" dxfId="179" priority="77" operator="greaterThan">
      <formula>50%</formula>
    </cfRule>
    <cfRule type="cellIs" dxfId="178" priority="78" operator="between">
      <formula>37%</formula>
      <formula>50%</formula>
    </cfRule>
    <cfRule type="cellIs" dxfId="177" priority="79" operator="between">
      <formula>16%</formula>
      <formula>37%</formula>
    </cfRule>
    <cfRule type="cellIs" dxfId="176" priority="80" operator="lessThan">
      <formula>16%</formula>
    </cfRule>
  </conditionalFormatting>
  <conditionalFormatting sqref="M43">
    <cfRule type="cellIs" dxfId="175" priority="73" operator="greaterThan">
      <formula>50%</formula>
    </cfRule>
    <cfRule type="cellIs" dxfId="174" priority="74" operator="between">
      <formula>37%</formula>
      <formula>50%</formula>
    </cfRule>
    <cfRule type="cellIs" dxfId="173" priority="75" operator="between">
      <formula>16%</formula>
      <formula>37%</formula>
    </cfRule>
    <cfRule type="cellIs" dxfId="172" priority="76" operator="lessThan">
      <formula>16%</formula>
    </cfRule>
  </conditionalFormatting>
  <conditionalFormatting sqref="M45">
    <cfRule type="cellIs" dxfId="171" priority="69" operator="greaterThan">
      <formula>50%</formula>
    </cfRule>
    <cfRule type="cellIs" dxfId="170" priority="70" operator="between">
      <formula>37%</formula>
      <formula>50%</formula>
    </cfRule>
    <cfRule type="cellIs" dxfId="169" priority="71" operator="between">
      <formula>16%</formula>
      <formula>37%</formula>
    </cfRule>
    <cfRule type="cellIs" dxfId="168" priority="72" operator="lessThan">
      <formula>16%</formula>
    </cfRule>
  </conditionalFormatting>
  <conditionalFormatting sqref="D8:D22 D25:D27 D33:D38">
    <cfRule type="cellIs" dxfId="167" priority="65" operator="greaterThan">
      <formula>50.1%</formula>
    </cfRule>
    <cfRule type="cellIs" dxfId="166" priority="66" operator="between">
      <formula>37%</formula>
      <formula>50%</formula>
    </cfRule>
    <cfRule type="cellIs" dxfId="165" priority="67" operator="between">
      <formula>16%</formula>
      <formula>37%</formula>
    </cfRule>
    <cfRule type="cellIs" dxfId="164" priority="68" operator="lessThan">
      <formula>16%</formula>
    </cfRule>
  </conditionalFormatting>
  <conditionalFormatting sqref="N34">
    <cfRule type="cellIs" dxfId="163" priority="45" operator="greaterThan">
      <formula>50%</formula>
    </cfRule>
    <cfRule type="cellIs" dxfId="162" priority="46" operator="between">
      <formula>37%</formula>
      <formula>50%</formula>
    </cfRule>
    <cfRule type="cellIs" dxfId="161" priority="47" operator="between">
      <formula>16%</formula>
      <formula>37%</formula>
    </cfRule>
    <cfRule type="cellIs" dxfId="160" priority="48" operator="lessThan">
      <formula>16%</formula>
    </cfRule>
  </conditionalFormatting>
  <conditionalFormatting sqref="M8">
    <cfRule type="cellIs" dxfId="159" priority="41" operator="greaterThan">
      <formula>50%</formula>
    </cfRule>
    <cfRule type="cellIs" dxfId="158" priority="42" operator="between">
      <formula>37%</formula>
      <formula>50%</formula>
    </cfRule>
    <cfRule type="cellIs" dxfId="157" priority="43" operator="between">
      <formula>16%</formula>
      <formula>37%</formula>
    </cfRule>
    <cfRule type="cellIs" dxfId="156" priority="44" operator="lessThan">
      <formula>16%</formula>
    </cfRule>
  </conditionalFormatting>
  <conditionalFormatting sqref="Q6">
    <cfRule type="cellIs" dxfId="155" priority="33" operator="greaterThan">
      <formula>24%</formula>
    </cfRule>
    <cfRule type="cellIs" dxfId="154" priority="34" operator="between">
      <formula>19.1%</formula>
      <formula>24%</formula>
    </cfRule>
    <cfRule type="cellIs" dxfId="153" priority="35" operator="between">
      <formula>9%</formula>
      <formula>19%</formula>
    </cfRule>
    <cfRule type="cellIs" dxfId="152" priority="36" operator="lessThan">
      <formula>9%</formula>
    </cfRule>
  </conditionalFormatting>
  <conditionalFormatting sqref="Q7:Q11">
    <cfRule type="cellIs" dxfId="151" priority="29" operator="greaterThan">
      <formula>24%</formula>
    </cfRule>
    <cfRule type="cellIs" dxfId="150" priority="30" operator="between">
      <formula>19.1%</formula>
      <formula>24%</formula>
    </cfRule>
    <cfRule type="cellIs" dxfId="149" priority="31" operator="between">
      <formula>9%</formula>
      <formula>19%</formula>
    </cfRule>
    <cfRule type="cellIs" dxfId="148" priority="32" operator="lessThan">
      <formula>9%</formula>
    </cfRule>
  </conditionalFormatting>
  <conditionalFormatting sqref="R6:R11">
    <cfRule type="cellIs" dxfId="147" priority="25" operator="greaterThan">
      <formula>24%</formula>
    </cfRule>
    <cfRule type="cellIs" dxfId="146" priority="26" operator="between">
      <formula>19.1%</formula>
      <formula>24%</formula>
    </cfRule>
    <cfRule type="cellIs" dxfId="145" priority="27" operator="between">
      <formula>9%</formula>
      <formula>19%</formula>
    </cfRule>
    <cfRule type="cellIs" dxfId="144" priority="28" operator="lessThan">
      <formula>9%</formula>
    </cfRule>
  </conditionalFormatting>
  <conditionalFormatting sqref="B32:B38">
    <cfRule type="cellIs" dxfId="143" priority="21" operator="greaterThan">
      <formula>50.1%</formula>
    </cfRule>
    <cfRule type="cellIs" dxfId="142" priority="22" operator="between">
      <formula>37%</formula>
      <formula>50%</formula>
    </cfRule>
    <cfRule type="cellIs" dxfId="141" priority="23" operator="between">
      <formula>16%</formula>
      <formula>37%</formula>
    </cfRule>
    <cfRule type="cellIs" dxfId="140" priority="24" operator="lessThan">
      <formula>16%</formula>
    </cfRule>
  </conditionalFormatting>
  <conditionalFormatting sqref="C32:D32 C33:C38">
    <cfRule type="cellIs" dxfId="139" priority="17" operator="greaterThan">
      <formula>50.1%</formula>
    </cfRule>
    <cfRule type="cellIs" dxfId="138" priority="18" operator="between">
      <formula>37%</formula>
      <formula>50%</formula>
    </cfRule>
    <cfRule type="cellIs" dxfId="137" priority="19" operator="between">
      <formula>16%</formula>
      <formula>37%</formula>
    </cfRule>
    <cfRule type="cellIs" dxfId="136" priority="20" operator="lessThan">
      <formula>16%</formula>
    </cfRule>
  </conditionalFormatting>
  <conditionalFormatting sqref="B39:D39">
    <cfRule type="cellIs" dxfId="135" priority="5" operator="greaterThan">
      <formula>50.1%</formula>
    </cfRule>
    <cfRule type="cellIs" dxfId="134" priority="6" operator="between">
      <formula>37%</formula>
      <formula>50%</formula>
    </cfRule>
    <cfRule type="cellIs" dxfId="133" priority="7" operator="between">
      <formula>16%</formula>
      <formula>37%</formula>
    </cfRule>
    <cfRule type="cellIs" dxfId="132" priority="8" operator="lessThan">
      <formula>16%</formula>
    </cfRule>
  </conditionalFormatting>
  <conditionalFormatting sqref="D23:D24">
    <cfRule type="cellIs" dxfId="131" priority="1" operator="greaterThan">
      <formula>50.1%</formula>
    </cfRule>
    <cfRule type="cellIs" dxfId="130" priority="2" operator="between">
      <formula>37%</formula>
      <formula>50%</formula>
    </cfRule>
    <cfRule type="cellIs" dxfId="129" priority="3" operator="between">
      <formula>16%</formula>
      <formula>37%</formula>
    </cfRule>
    <cfRule type="cellIs" dxfId="128" priority="4" operator="lessThan">
      <formula>16%</formula>
    </cfRule>
  </conditionalFormatting>
  <pageMargins left="0.7" right="0.7" top="0.75" bottom="0.75" header="0.3" footer="0.3"/>
  <pageSetup paperSize="9" orientation="portrait" r:id="rId1"/>
  <ignoredErrors>
    <ignoredError sqref="N10"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67"/>
  <sheetViews>
    <sheetView topLeftCell="S1" workbookViewId="0">
      <selection activeCell="A8" sqref="A8:A12"/>
    </sheetView>
  </sheetViews>
  <sheetFormatPr baseColWidth="10" defaultRowHeight="15" x14ac:dyDescent="0.25"/>
  <cols>
    <col min="1" max="1" width="33.85546875" customWidth="1"/>
    <col min="2" max="2" width="16.140625" customWidth="1"/>
    <col min="4" max="4" width="13" customWidth="1"/>
    <col min="8" max="8" width="26.28515625" customWidth="1"/>
    <col min="13" max="13" width="15.28515625" customWidth="1"/>
    <col min="14" max="14" width="12.7109375" customWidth="1"/>
    <col min="16" max="16" width="3.85546875" customWidth="1"/>
    <col min="31" max="31" width="12.7109375" bestFit="1" customWidth="1"/>
    <col min="32" max="32" width="16.28515625" customWidth="1"/>
  </cols>
  <sheetData>
    <row r="2" spans="1:33" ht="15.75" thickBot="1" x14ac:dyDescent="0.3"/>
    <row r="3" spans="1:33" ht="15.75" x14ac:dyDescent="0.25">
      <c r="J3" s="578" t="s">
        <v>356</v>
      </c>
      <c r="K3" s="579"/>
      <c r="L3" s="579"/>
      <c r="M3" s="579"/>
      <c r="N3" s="580"/>
    </row>
    <row r="4" spans="1:33" ht="15.75" x14ac:dyDescent="0.25">
      <c r="J4" s="581" t="s">
        <v>385</v>
      </c>
      <c r="K4" s="582"/>
      <c r="L4" s="582"/>
      <c r="M4" s="582"/>
      <c r="N4" s="583"/>
    </row>
    <row r="5" spans="1:33" ht="16.5" thickBot="1" x14ac:dyDescent="0.3">
      <c r="J5" s="581" t="s">
        <v>384</v>
      </c>
      <c r="K5" s="582"/>
      <c r="L5" s="582"/>
      <c r="M5" s="582"/>
      <c r="N5" s="583"/>
      <c r="P5" s="619" t="s">
        <v>356</v>
      </c>
      <c r="Q5" s="620"/>
      <c r="R5" s="621"/>
    </row>
    <row r="6" spans="1:33" ht="20.25" thickBot="1" x14ac:dyDescent="0.35">
      <c r="A6" s="556" t="s">
        <v>386</v>
      </c>
      <c r="B6" s="556"/>
      <c r="C6" s="556"/>
      <c r="D6" s="556"/>
      <c r="E6" s="556"/>
      <c r="F6" s="556"/>
      <c r="J6" s="584" t="s">
        <v>10</v>
      </c>
      <c r="K6" s="585"/>
      <c r="L6" s="585"/>
      <c r="M6" s="135" t="s">
        <v>588</v>
      </c>
      <c r="N6" s="147" t="e">
        <f>E26</f>
        <v>#REF!</v>
      </c>
      <c r="P6" s="623" t="s">
        <v>385</v>
      </c>
      <c r="Q6" s="624"/>
      <c r="R6" s="625"/>
    </row>
    <row r="7" spans="1:33" ht="45.75" thickBot="1" x14ac:dyDescent="0.3">
      <c r="A7" s="135" t="s">
        <v>377</v>
      </c>
      <c r="B7" s="137" t="s">
        <v>378</v>
      </c>
      <c r="C7" s="135" t="s">
        <v>379</v>
      </c>
      <c r="D7" s="137" t="s">
        <v>380</v>
      </c>
      <c r="E7" s="137" t="s">
        <v>381</v>
      </c>
      <c r="F7" s="137" t="s">
        <v>382</v>
      </c>
      <c r="J7" s="622"/>
      <c r="K7" s="603"/>
      <c r="L7" s="603"/>
      <c r="M7" s="149" t="s">
        <v>6</v>
      </c>
      <c r="N7" s="150" t="s">
        <v>5</v>
      </c>
      <c r="O7" s="55"/>
      <c r="P7" s="153" t="s">
        <v>10</v>
      </c>
      <c r="Q7" s="154" t="s">
        <v>589</v>
      </c>
      <c r="R7" s="155" t="s">
        <v>588</v>
      </c>
      <c r="S7" s="55"/>
      <c r="T7" s="55"/>
      <c r="U7" s="55"/>
      <c r="V7" s="55"/>
      <c r="W7" s="55"/>
      <c r="X7" s="55"/>
      <c r="Y7" s="55" t="s">
        <v>579</v>
      </c>
      <c r="Z7" s="55" t="s">
        <v>580</v>
      </c>
      <c r="AA7" s="55" t="s">
        <v>581</v>
      </c>
      <c r="AB7" s="55" t="s">
        <v>582</v>
      </c>
      <c r="AC7" s="55" t="s">
        <v>583</v>
      </c>
      <c r="AD7" s="55"/>
      <c r="AE7" s="138" t="s">
        <v>584</v>
      </c>
      <c r="AF7" s="138" t="s">
        <v>585</v>
      </c>
      <c r="AG7" s="55"/>
    </row>
    <row r="8" spans="1:33" ht="15.75" customHeight="1" thickBot="1" x14ac:dyDescent="0.3">
      <c r="A8" s="408" t="str">
        <f>'S. ADMINISTRATIVO'!B8:B10</f>
        <v>SA-PY2.a  Construcción y mantenimiento de las Sedes.</v>
      </c>
      <c r="B8" s="547">
        <v>0.1</v>
      </c>
      <c r="C8" s="1" t="s">
        <v>371</v>
      </c>
      <c r="D8" s="52" t="e">
        <f>'S. ADMINISTRATIVO'!#REF!</f>
        <v>#REF!</v>
      </c>
      <c r="E8" s="560" t="e">
        <f>B8*AD8</f>
        <v>#REF!</v>
      </c>
      <c r="F8" s="553">
        <f>AG8</f>
        <v>0</v>
      </c>
      <c r="J8" s="617" t="str">
        <f>A8</f>
        <v>SA-PY2.a  Construcción y mantenimiento de las Sedes.</v>
      </c>
      <c r="K8" s="618"/>
      <c r="L8" s="618"/>
      <c r="M8" s="586" t="e">
        <f>AD8</f>
        <v>#REF!</v>
      </c>
      <c r="N8" s="616">
        <f>F8</f>
        <v>0</v>
      </c>
      <c r="O8" s="56"/>
      <c r="P8" s="156" t="str">
        <f>A8</f>
        <v>SA-PY2.a  Construcción y mantenimiento de las Sedes.</v>
      </c>
      <c r="Q8" s="157">
        <f>M45</f>
        <v>0.33329999999999999</v>
      </c>
      <c r="R8" s="158" t="e">
        <f>M8</f>
        <v>#REF!</v>
      </c>
      <c r="S8" s="56"/>
      <c r="T8" s="56"/>
      <c r="U8" s="56"/>
      <c r="V8" s="56"/>
      <c r="W8" s="56" t="e">
        <f>IF(D8&lt;16%,"Rojo",IF(D8&lt;37%,"Amarillo",IF(D8&lt;50.1%,"Verde","Azul")))</f>
        <v>#REF!</v>
      </c>
      <c r="X8" s="56" t="s">
        <v>573</v>
      </c>
      <c r="Y8" s="56">
        <f>COUNTIF($W$8:$W$10,"Rojo")</f>
        <v>0</v>
      </c>
      <c r="Z8" s="56">
        <f>COUNTIF($W$8:$W$10,"Amarillo")</f>
        <v>0</v>
      </c>
      <c r="AA8" s="56">
        <f>COUNTIF($W$8:$W$10,"Verde")</f>
        <v>0</v>
      </c>
      <c r="AB8" s="56">
        <f>COUNTIF($W$8:$W$10,"Azul")</f>
        <v>0</v>
      </c>
      <c r="AC8" s="56">
        <f>SUM(Y8:AB8)</f>
        <v>0</v>
      </c>
      <c r="AD8" s="140" t="e">
        <f>'S. ADMINISTRATIVO'!#REF!</f>
        <v>#REF!</v>
      </c>
      <c r="AE8" s="139" t="e">
        <f>'S. ADMINISTRATIVO'!#REF!+'S. ADMINISTRATIVO'!#REF!+'S. ADMINISTRATIVO'!#REF!+'S. ADMINISTRATIVO'!#REF!+'S. ADMINISTRATIVO'!#REF!</f>
        <v>#REF!</v>
      </c>
      <c r="AF8" s="139" t="e">
        <f>'S. ADMINISTRATIVO'!#REF!+'S. ADMINISTRATIVO'!#REF!+'S. ADMINISTRATIVO'!#REF!+'S. ADMINISTRATIVO'!#REF!+'S. ADMINISTRATIVO'!#REF!</f>
        <v>#REF!</v>
      </c>
      <c r="AG8" s="141">
        <f>IFERROR(AF8/AE8,0)</f>
        <v>0</v>
      </c>
    </row>
    <row r="9" spans="1:33" ht="15.75" thickBot="1" x14ac:dyDescent="0.3">
      <c r="A9" s="409"/>
      <c r="B9" s="409"/>
      <c r="C9" s="1" t="s">
        <v>372</v>
      </c>
      <c r="D9" s="187" t="e">
        <f>'S. ADMINISTRATIVO'!#REF!</f>
        <v>#REF!</v>
      </c>
      <c r="E9" s="560"/>
      <c r="F9" s="554"/>
      <c r="J9" s="576"/>
      <c r="K9" s="577"/>
      <c r="L9" s="577"/>
      <c r="M9" s="587"/>
      <c r="N9" s="615"/>
      <c r="O9" s="56"/>
      <c r="P9" s="156">
        <f>J10</f>
        <v>0</v>
      </c>
      <c r="Q9" s="157">
        <f>M47</f>
        <v>0</v>
      </c>
      <c r="R9" s="158" t="e">
        <f>M10</f>
        <v>#DIV/0!</v>
      </c>
      <c r="S9" s="56"/>
      <c r="T9" s="56"/>
      <c r="U9" s="56"/>
      <c r="V9" s="56"/>
      <c r="W9" s="56" t="e">
        <f t="shared" ref="W9:W46" si="0">IF(D9&lt;16%,"Rojo",IF(D9&lt;37%,"Amarillo",IF(D9&lt;50.1%,"Verde","Azul")))</f>
        <v>#REF!</v>
      </c>
      <c r="X9" s="56" t="s">
        <v>574</v>
      </c>
      <c r="Y9" s="56">
        <f>COUNTIF($W$12,"Rojo")</f>
        <v>0</v>
      </c>
      <c r="Z9" s="56">
        <f>COUNTIF($W$12,"Amarillo")</f>
        <v>0</v>
      </c>
      <c r="AA9" s="56">
        <f>COUNTIF($W$12,"Verde")</f>
        <v>0</v>
      </c>
      <c r="AB9" s="56">
        <f>COUNTIF($W$12,"Azul")</f>
        <v>0</v>
      </c>
      <c r="AC9" s="56">
        <f t="shared" ref="AC9:AC13" si="1">SUM(Y9:AB9)</f>
        <v>0</v>
      </c>
      <c r="AD9" s="140" t="e">
        <f t="shared" ref="AD9:AD13" si="2">((100/AC9)*SUM(Z9:AB9)/100)</f>
        <v>#DIV/0!</v>
      </c>
      <c r="AE9" s="139" t="e">
        <f>'S. ADMINISTRATIVO'!#REF!+'S. ADMINISTRATIVO'!#REF!+'S. ADMINISTRATIVO'!#REF!+'S. ADMINISTRATIVO'!#REF!+'S. ADMINISTRATIVO'!#REF!+'S. ADMINISTRATIVO'!#REF!+'S. ADMINISTRATIVO'!#REF!</f>
        <v>#REF!</v>
      </c>
      <c r="AF9" s="139" t="e">
        <f>'S. ADMINISTRATIVO'!#REF!+'S. ADMINISTRATIVO'!#REF!+'S. ADMINISTRATIVO'!#REF!+'S. ADMINISTRATIVO'!#REF!+'S. ADMINISTRATIVO'!#REF!+'S. ADMINISTRATIVO'!#REF!+'S. ADMINISTRATIVO'!#REF!</f>
        <v>#REF!</v>
      </c>
      <c r="AG9" s="141">
        <f t="shared" ref="AG9:AG13" si="3">IFERROR(AF9/AE9,0)</f>
        <v>0</v>
      </c>
    </row>
    <row r="10" spans="1:33" ht="15.75" thickBot="1" x14ac:dyDescent="0.3">
      <c r="A10" s="409"/>
      <c r="B10" s="409"/>
      <c r="C10" s="1" t="s">
        <v>373</v>
      </c>
      <c r="D10" s="187" t="e">
        <f>'S. ADMINISTRATIVO'!#REF!</f>
        <v>#REF!</v>
      </c>
      <c r="E10" s="560"/>
      <c r="F10" s="554"/>
      <c r="J10" s="576">
        <f>A11</f>
        <v>0</v>
      </c>
      <c r="K10" s="577"/>
      <c r="L10" s="577"/>
      <c r="M10" s="587" t="e">
        <f>AD9</f>
        <v>#DIV/0!</v>
      </c>
      <c r="N10" s="615">
        <f>F11</f>
        <v>0</v>
      </c>
      <c r="O10" s="56"/>
      <c r="P10" s="83" t="str">
        <f>J12</f>
        <v>SA-PY2.b  Desarrollo, dotación y Mantenimiento de las Sedes.</v>
      </c>
      <c r="Q10" s="157">
        <f>M49</f>
        <v>0.42859999999999998</v>
      </c>
      <c r="R10" s="158" t="e">
        <f>M12</f>
        <v>#DIV/0!</v>
      </c>
      <c r="S10" s="56"/>
      <c r="T10" s="56"/>
      <c r="U10" s="56"/>
      <c r="V10" s="56"/>
      <c r="W10" s="56" t="e">
        <f t="shared" si="0"/>
        <v>#REF!</v>
      </c>
      <c r="X10" s="56" t="s">
        <v>575</v>
      </c>
      <c r="Y10" s="56">
        <f>COUNTIF($W$13:$W$19,"Rojo")</f>
        <v>0</v>
      </c>
      <c r="Z10" s="56">
        <f>COUNTIF($W$13:$W$19,"Amarillo")</f>
        <v>0</v>
      </c>
      <c r="AA10" s="56">
        <f>COUNTIF($W$13:$W$19,"Verde")</f>
        <v>0</v>
      </c>
      <c r="AB10" s="56">
        <f>COUNTIF($W$13:$W$19,"Azul")</f>
        <v>0</v>
      </c>
      <c r="AC10" s="56">
        <f t="shared" si="1"/>
        <v>0</v>
      </c>
      <c r="AD10" s="140" t="e">
        <f t="shared" si="2"/>
        <v>#DIV/0!</v>
      </c>
      <c r="AE10" s="139" t="e">
        <f>'S. ADMINISTRATIVO'!#REF!</f>
        <v>#REF!</v>
      </c>
      <c r="AF10" s="139" t="e">
        <f>'S. ADMINISTRATIVO'!#REF!</f>
        <v>#REF!</v>
      </c>
      <c r="AG10" s="141">
        <f t="shared" si="3"/>
        <v>0</v>
      </c>
    </row>
    <row r="11" spans="1:33" ht="15" customHeight="1" thickBot="1" x14ac:dyDescent="0.3">
      <c r="A11" s="409"/>
      <c r="B11" s="547">
        <v>0.15</v>
      </c>
      <c r="C11" s="9" t="s">
        <v>301</v>
      </c>
      <c r="D11" s="173" t="e">
        <f>'S. ADMINISTRATIVO'!#REF!</f>
        <v>#REF!</v>
      </c>
      <c r="E11" s="550" t="e">
        <f>B11*AD9</f>
        <v>#DIV/0!</v>
      </c>
      <c r="F11" s="554"/>
      <c r="J11" s="576"/>
      <c r="K11" s="577"/>
      <c r="L11" s="577"/>
      <c r="M11" s="587"/>
      <c r="N11" s="615"/>
      <c r="O11" s="56"/>
      <c r="P11" s="83" t="str">
        <f>J14</f>
        <v>Proyecto SA-PY2c. Desarrollo Proyectos Institucionales</v>
      </c>
      <c r="Q11" s="157">
        <f>M51</f>
        <v>1</v>
      </c>
      <c r="R11" s="158" t="e">
        <f>M14</f>
        <v>#DIV/0!</v>
      </c>
      <c r="S11" s="56"/>
      <c r="T11" s="56"/>
      <c r="U11" s="56"/>
      <c r="V11" s="56"/>
      <c r="W11" s="56" t="e">
        <f t="shared" si="0"/>
        <v>#REF!</v>
      </c>
      <c r="X11" s="56" t="s">
        <v>576</v>
      </c>
      <c r="Y11" s="56">
        <f>COUNTIF($W$20:$W$20,"Rojo")</f>
        <v>0</v>
      </c>
      <c r="Z11" s="56">
        <f>COUNTIF($W$20:$W$20,"Amarillo")</f>
        <v>0</v>
      </c>
      <c r="AA11" s="56">
        <f>COUNTIF($W$20:$W$20,"Verde")</f>
        <v>0</v>
      </c>
      <c r="AB11" s="56">
        <f>COUNTIF($W$20:$W$20,"Azul")</f>
        <v>0</v>
      </c>
      <c r="AC11" s="56">
        <f t="shared" si="1"/>
        <v>0</v>
      </c>
      <c r="AD11" s="140" t="e">
        <f t="shared" si="2"/>
        <v>#DIV/0!</v>
      </c>
      <c r="AE11" s="139" t="e">
        <f>'S. ADMINISTRATIVO'!#REF!+'S. ADMINISTRATIVO'!#REF!+'S. ADMINISTRATIVO'!#REF!</f>
        <v>#REF!</v>
      </c>
      <c r="AF11" s="139" t="e">
        <f>'S. ADMINISTRATIVO'!#REF!+'S. ADMINISTRATIVO'!#REF!+'S. ADMINISTRATIVO'!#REF!</f>
        <v>#REF!</v>
      </c>
      <c r="AG11" s="141">
        <f t="shared" si="3"/>
        <v>0</v>
      </c>
    </row>
    <row r="12" spans="1:33" ht="15.75" thickBot="1" x14ac:dyDescent="0.3">
      <c r="A12" s="410"/>
      <c r="B12" s="548"/>
      <c r="C12" s="9" t="s">
        <v>303</v>
      </c>
      <c r="D12" s="187" t="e">
        <f>'S. ADMINISTRATIVO'!#REF!</f>
        <v>#REF!</v>
      </c>
      <c r="E12" s="551"/>
      <c r="F12" s="555"/>
      <c r="J12" s="576" t="str">
        <f>A13</f>
        <v>SA-PY2.b  Desarrollo, dotación y Mantenimiento de las Sedes.</v>
      </c>
      <c r="K12" s="577"/>
      <c r="L12" s="577"/>
      <c r="M12" s="587" t="e">
        <f>AD10</f>
        <v>#DIV/0!</v>
      </c>
      <c r="N12" s="615">
        <f>F13</f>
        <v>0</v>
      </c>
      <c r="O12" s="56"/>
      <c r="P12" s="83" t="str">
        <f>J17</f>
        <v>SA-PY3.  Aseguramiento de los sistemas de Gestión de Calidad y Gestión Ambiental.</v>
      </c>
      <c r="Q12" s="157">
        <f>M55</f>
        <v>0.67</v>
      </c>
      <c r="R12" s="158" t="e">
        <f>M17</f>
        <v>#DIV/0!</v>
      </c>
      <c r="S12" s="56"/>
      <c r="T12" s="56"/>
      <c r="U12" s="56"/>
      <c r="V12" s="56"/>
      <c r="W12" s="56" t="e">
        <f t="shared" si="0"/>
        <v>#REF!</v>
      </c>
      <c r="X12" s="56" t="s">
        <v>577</v>
      </c>
      <c r="Y12" s="56">
        <f>COUNTIF($W$21:$W$23,"Rojo")</f>
        <v>0</v>
      </c>
      <c r="Z12" s="56">
        <f>COUNTIF($W$21:$W$23,"Amarillo")</f>
        <v>0</v>
      </c>
      <c r="AA12" s="56">
        <f>COUNTIF($W$21:$W$23,"Verde")</f>
        <v>0</v>
      </c>
      <c r="AB12" s="56">
        <f>COUNTIF($W$21:$W$23,"Azul")</f>
        <v>0</v>
      </c>
      <c r="AC12" s="56">
        <f t="shared" si="1"/>
        <v>0</v>
      </c>
      <c r="AD12" s="140" t="e">
        <f t="shared" si="2"/>
        <v>#DIV/0!</v>
      </c>
      <c r="AE12" s="139" t="e">
        <f>'S. ADMINISTRATIVO'!#REF!</f>
        <v>#REF!</v>
      </c>
      <c r="AF12" s="139" t="e">
        <f>'S. ADMINISTRATIVO'!#REF!</f>
        <v>#REF!</v>
      </c>
      <c r="AG12" s="141">
        <f t="shared" si="3"/>
        <v>0</v>
      </c>
    </row>
    <row r="13" spans="1:33" ht="15" customHeight="1" thickBot="1" x14ac:dyDescent="0.3">
      <c r="A13" s="408" t="str">
        <f>'S. ADMINISTRATIVO'!B14</f>
        <v>SA-PY2.b  Desarrollo, dotación y Mantenimiento de las Sedes.</v>
      </c>
      <c r="B13" s="547">
        <v>0.25</v>
      </c>
      <c r="C13" s="1" t="s">
        <v>310</v>
      </c>
      <c r="D13" s="173" t="e">
        <f>'S. ADMINISTRATIVO'!#REF!</f>
        <v>#REF!</v>
      </c>
      <c r="E13" s="550" t="e">
        <f>B13*AD10</f>
        <v>#DIV/0!</v>
      </c>
      <c r="F13" s="553">
        <f>AG9</f>
        <v>0</v>
      </c>
      <c r="J13" s="576"/>
      <c r="K13" s="577"/>
      <c r="L13" s="577"/>
      <c r="M13" s="587"/>
      <c r="N13" s="615"/>
      <c r="O13" s="56"/>
      <c r="P13" s="83" t="str">
        <f>J19</f>
        <v>SA-PY5.  Reestructuración Organizacional académica y administrativa.</v>
      </c>
      <c r="Q13" s="157">
        <f>M57</f>
        <v>0</v>
      </c>
      <c r="R13" s="158" t="e">
        <f>M19</f>
        <v>#DIV/0!</v>
      </c>
      <c r="S13" s="56"/>
      <c r="T13" s="56"/>
      <c r="U13" s="56"/>
      <c r="V13" s="56"/>
      <c r="W13" s="56" t="e">
        <f t="shared" si="0"/>
        <v>#REF!</v>
      </c>
      <c r="X13" s="56" t="s">
        <v>578</v>
      </c>
      <c r="Y13" s="56">
        <f>COUNTIF($W$24:$W$24,"Rojo")</f>
        <v>0</v>
      </c>
      <c r="Z13" s="56">
        <f>COUNTIF($W$24:$W$24,"Amarillo")</f>
        <v>0</v>
      </c>
      <c r="AA13" s="56">
        <f>COUNTIF($W$24:$W$24,"Verde")</f>
        <v>0</v>
      </c>
      <c r="AB13" s="56">
        <f>COUNTIF($W$24:$W$24,"Azul")</f>
        <v>0</v>
      </c>
      <c r="AC13" s="56">
        <f t="shared" si="1"/>
        <v>0</v>
      </c>
      <c r="AD13" s="140" t="e">
        <f t="shared" si="2"/>
        <v>#DIV/0!</v>
      </c>
      <c r="AE13" s="139" t="e">
        <f>'S. ADMINISTRATIVO'!#REF!</f>
        <v>#REF!</v>
      </c>
      <c r="AF13" s="139" t="e">
        <f>'S. ADMINISTRATIVO'!#REF!</f>
        <v>#REF!</v>
      </c>
      <c r="AG13" s="141">
        <f t="shared" si="3"/>
        <v>0</v>
      </c>
    </row>
    <row r="14" spans="1:33" x14ac:dyDescent="0.25">
      <c r="A14" s="409"/>
      <c r="B14" s="548"/>
      <c r="C14" s="1" t="s">
        <v>314</v>
      </c>
      <c r="D14" s="187" t="e">
        <f>'S. ADMINISTRATIVO'!#REF!</f>
        <v>#REF!</v>
      </c>
      <c r="E14" s="551"/>
      <c r="F14" s="554"/>
      <c r="J14" s="576" t="str">
        <f>A20</f>
        <v>Proyecto SA-PY2c. Desarrollo Proyectos Institucionales</v>
      </c>
      <c r="K14" s="577"/>
      <c r="L14" s="577"/>
      <c r="M14" s="587" t="e">
        <f>AD11</f>
        <v>#DIV/0!</v>
      </c>
      <c r="N14" s="615">
        <f>F20</f>
        <v>0</v>
      </c>
      <c r="O14" s="56"/>
      <c r="P14" s="159" t="str">
        <f>J21</f>
        <v>SA-PY7. Formación y Capacitación al Personal Administrativo y Operativo.</v>
      </c>
      <c r="Q14" s="160">
        <f>M59</f>
        <v>1</v>
      </c>
      <c r="R14" s="161">
        <f>M21</f>
        <v>0</v>
      </c>
      <c r="S14" s="56"/>
      <c r="T14" s="56"/>
      <c r="U14" s="56"/>
      <c r="V14" s="56"/>
      <c r="W14" s="56" t="e">
        <f t="shared" si="0"/>
        <v>#REF!</v>
      </c>
      <c r="X14" s="56"/>
      <c r="Y14" s="56"/>
      <c r="Z14" s="56"/>
      <c r="AA14" s="56"/>
      <c r="AB14" s="56"/>
      <c r="AC14" s="56"/>
      <c r="AD14" s="140"/>
      <c r="AE14" s="139"/>
      <c r="AF14" s="139"/>
      <c r="AG14" s="141"/>
    </row>
    <row r="15" spans="1:33" x14ac:dyDescent="0.25">
      <c r="A15" s="409"/>
      <c r="B15" s="548"/>
      <c r="C15" s="1" t="s">
        <v>317</v>
      </c>
      <c r="D15" s="187" t="e">
        <f>'S. ADMINISTRATIVO'!#REF!</f>
        <v>#REF!</v>
      </c>
      <c r="E15" s="551"/>
      <c r="F15" s="554"/>
      <c r="J15" s="576"/>
      <c r="K15" s="577"/>
      <c r="L15" s="577"/>
      <c r="M15" s="587"/>
      <c r="N15" s="615"/>
      <c r="O15" s="56"/>
      <c r="P15" s="56"/>
      <c r="Q15" s="56"/>
      <c r="R15" s="56"/>
      <c r="S15" s="56"/>
      <c r="T15" s="56"/>
      <c r="U15" s="56"/>
      <c r="V15" s="56"/>
      <c r="W15" s="56" t="e">
        <f t="shared" si="0"/>
        <v>#REF!</v>
      </c>
      <c r="X15" s="56"/>
      <c r="Y15" s="56"/>
      <c r="Z15" s="56"/>
      <c r="AA15" s="56"/>
      <c r="AB15" s="56"/>
      <c r="AC15" s="56"/>
      <c r="AD15" s="56"/>
      <c r="AE15" s="56"/>
      <c r="AF15" s="56"/>
      <c r="AG15" s="56"/>
    </row>
    <row r="16" spans="1:33" ht="15.75" customHeight="1" x14ac:dyDescent="0.25">
      <c r="A16" s="409"/>
      <c r="B16" s="548"/>
      <c r="C16" s="1" t="s">
        <v>320</v>
      </c>
      <c r="D16" s="187" t="e">
        <f>'S. ADMINISTRATIVO'!#REF!</f>
        <v>#REF!</v>
      </c>
      <c r="E16" s="551"/>
      <c r="F16" s="554"/>
      <c r="J16" s="576"/>
      <c r="K16" s="577"/>
      <c r="L16" s="577"/>
      <c r="M16" s="587"/>
      <c r="N16" s="615"/>
      <c r="O16" s="56"/>
      <c r="P16" s="56"/>
      <c r="Q16" s="56"/>
      <c r="R16" s="56"/>
      <c r="S16" s="56"/>
      <c r="T16" s="56"/>
      <c r="U16" s="56"/>
      <c r="V16" s="56"/>
      <c r="W16" s="56" t="e">
        <f t="shared" si="0"/>
        <v>#REF!</v>
      </c>
      <c r="X16" s="56"/>
      <c r="Y16" s="56"/>
      <c r="Z16" s="56"/>
      <c r="AA16" s="56"/>
      <c r="AB16" s="56"/>
      <c r="AC16" s="56"/>
      <c r="AD16" s="56"/>
      <c r="AE16" s="56"/>
      <c r="AF16" s="56"/>
      <c r="AG16" s="56"/>
    </row>
    <row r="17" spans="1:33" ht="15.75" customHeight="1" x14ac:dyDescent="0.25">
      <c r="A17" s="409"/>
      <c r="B17" s="548"/>
      <c r="C17" s="1" t="s">
        <v>323</v>
      </c>
      <c r="D17" s="187" t="e">
        <f>'S. ADMINISTRATIVO'!#REF!</f>
        <v>#REF!</v>
      </c>
      <c r="E17" s="551"/>
      <c r="F17" s="554"/>
      <c r="J17" s="576" t="str">
        <f>A21</f>
        <v>SA-PY3.  Aseguramiento de los sistemas de Gestión de Calidad y Gestión Ambiental.</v>
      </c>
      <c r="K17" s="577"/>
      <c r="L17" s="577"/>
      <c r="M17" s="587" t="e">
        <f>AD12</f>
        <v>#DIV/0!</v>
      </c>
      <c r="N17" s="615">
        <f>F21</f>
        <v>0</v>
      </c>
      <c r="O17" s="56"/>
      <c r="P17" s="56"/>
      <c r="Q17" s="56"/>
      <c r="R17" s="56"/>
      <c r="S17" s="56"/>
      <c r="T17" s="56"/>
      <c r="U17" s="56"/>
      <c r="V17" s="56"/>
      <c r="W17" s="56" t="e">
        <f t="shared" si="0"/>
        <v>#REF!</v>
      </c>
      <c r="X17" s="56"/>
      <c r="Y17" s="56"/>
      <c r="Z17" s="56"/>
      <c r="AA17" s="56"/>
      <c r="AB17" s="56"/>
      <c r="AC17" s="56"/>
      <c r="AD17" s="56"/>
      <c r="AE17" s="56"/>
      <c r="AF17" s="56"/>
      <c r="AG17" s="56"/>
    </row>
    <row r="18" spans="1:33" ht="25.5" customHeight="1" x14ac:dyDescent="0.25">
      <c r="A18" s="409"/>
      <c r="B18" s="548"/>
      <c r="C18" s="1" t="s">
        <v>326</v>
      </c>
      <c r="D18" s="187" t="e">
        <f>'S. ADMINISTRATIVO'!#REF!</f>
        <v>#REF!</v>
      </c>
      <c r="E18" s="551"/>
      <c r="F18" s="554"/>
      <c r="J18" s="576"/>
      <c r="K18" s="577"/>
      <c r="L18" s="577"/>
      <c r="M18" s="587"/>
      <c r="N18" s="615"/>
      <c r="O18" s="56"/>
      <c r="P18" s="56"/>
      <c r="Q18" s="56"/>
      <c r="R18" s="56"/>
      <c r="S18" s="56"/>
      <c r="T18" s="56"/>
      <c r="U18" s="56"/>
      <c r="V18" s="56"/>
      <c r="W18" s="56" t="e">
        <f t="shared" si="0"/>
        <v>#REF!</v>
      </c>
      <c r="X18" s="56"/>
      <c r="Y18" s="56"/>
      <c r="Z18" s="56"/>
      <c r="AA18" s="56"/>
      <c r="AB18" s="56"/>
      <c r="AC18" s="56"/>
      <c r="AD18" s="56"/>
      <c r="AE18" s="56"/>
      <c r="AF18" s="56"/>
      <c r="AG18" s="56"/>
    </row>
    <row r="19" spans="1:33" ht="15.75" customHeight="1" x14ac:dyDescent="0.25">
      <c r="A19" s="410"/>
      <c r="B19" s="549"/>
      <c r="C19" s="1" t="s">
        <v>329</v>
      </c>
      <c r="D19" s="187" t="e">
        <f>'S. ADMINISTRATIVO'!#REF!</f>
        <v>#REF!</v>
      </c>
      <c r="E19" s="552"/>
      <c r="F19" s="555"/>
      <c r="J19" s="576" t="str">
        <f>A24</f>
        <v>SA-PY5.  Reestructuración Organizacional académica y administrativa.</v>
      </c>
      <c r="K19" s="577"/>
      <c r="L19" s="577"/>
      <c r="M19" s="587" t="e">
        <f>AD13</f>
        <v>#DIV/0!</v>
      </c>
      <c r="N19" s="615">
        <f>F24</f>
        <v>0</v>
      </c>
      <c r="O19" s="56"/>
      <c r="P19" s="56"/>
      <c r="Q19" s="56"/>
      <c r="R19" s="56"/>
      <c r="S19" s="56"/>
      <c r="T19" s="56"/>
      <c r="U19" s="56"/>
      <c r="V19" s="56"/>
      <c r="W19" s="56" t="e">
        <f t="shared" si="0"/>
        <v>#REF!</v>
      </c>
      <c r="X19" s="56"/>
      <c r="Y19" s="56"/>
      <c r="Z19" s="56"/>
      <c r="AA19" s="56"/>
      <c r="AB19" s="56"/>
      <c r="AC19" s="56"/>
      <c r="AD19" s="56"/>
      <c r="AE19" s="56"/>
      <c r="AF19" s="56"/>
      <c r="AG19" s="56"/>
    </row>
    <row r="20" spans="1:33" ht="30" x14ac:dyDescent="0.25">
      <c r="A20" s="164" t="str">
        <f>'S. ADMINISTRATIVO'!B21</f>
        <v>Proyecto SA-PY2c. Desarrollo Proyectos Institucionales</v>
      </c>
      <c r="B20" s="71">
        <v>0.1</v>
      </c>
      <c r="C20" s="1" t="s">
        <v>333</v>
      </c>
      <c r="D20" s="173" t="e">
        <f>'S. ADMINISTRATIVO'!#REF!</f>
        <v>#REF!</v>
      </c>
      <c r="E20" s="163" t="e">
        <f>B20*AD11</f>
        <v>#DIV/0!</v>
      </c>
      <c r="F20" s="142">
        <f>AG10</f>
        <v>0</v>
      </c>
      <c r="J20" s="576"/>
      <c r="K20" s="577"/>
      <c r="L20" s="577"/>
      <c r="M20" s="587"/>
      <c r="N20" s="615"/>
      <c r="O20" s="56"/>
      <c r="P20" s="56"/>
      <c r="Q20" s="56"/>
      <c r="R20" s="56"/>
      <c r="S20" s="56"/>
      <c r="T20" s="56"/>
      <c r="U20" s="56"/>
      <c r="V20" s="56"/>
      <c r="W20" s="56" t="e">
        <f t="shared" si="0"/>
        <v>#REF!</v>
      </c>
      <c r="X20" s="56"/>
      <c r="Y20" s="56"/>
      <c r="Z20" s="56"/>
      <c r="AA20" s="56"/>
      <c r="AB20" s="56"/>
      <c r="AC20" s="56"/>
      <c r="AD20" s="56"/>
      <c r="AE20" s="56"/>
      <c r="AF20" s="56"/>
      <c r="AG20" s="56"/>
    </row>
    <row r="21" spans="1:33" x14ac:dyDescent="0.25">
      <c r="A21" s="557" t="str">
        <f>'S. ADMINISTRATIVO'!B22</f>
        <v>SA-PY3.  Aseguramiento de los sistemas de Gestión de Calidad y Gestión Ambiental.</v>
      </c>
      <c r="B21" s="547">
        <v>0.15</v>
      </c>
      <c r="C21" s="1" t="s">
        <v>337</v>
      </c>
      <c r="D21" s="173" t="e">
        <f>'S. ADMINISTRATIVO'!#REF!</f>
        <v>#REF!</v>
      </c>
      <c r="E21" s="560" t="e">
        <f>B21*AD12</f>
        <v>#DIV/0!</v>
      </c>
      <c r="F21" s="561">
        <f>AG11</f>
        <v>0</v>
      </c>
      <c r="J21" s="608" t="str">
        <f>A25</f>
        <v>SA-PY7. Formación y Capacitación al Personal Administrativo y Operativo.</v>
      </c>
      <c r="K21" s="609"/>
      <c r="L21" s="609"/>
      <c r="M21" s="612">
        <f>AD14</f>
        <v>0</v>
      </c>
      <c r="N21" s="604">
        <f>F25</f>
        <v>0</v>
      </c>
      <c r="O21" s="56"/>
      <c r="P21" s="56"/>
      <c r="Q21" s="56"/>
      <c r="R21" s="56"/>
      <c r="S21" s="56"/>
      <c r="T21" s="56"/>
      <c r="U21" s="56"/>
      <c r="V21" s="56"/>
      <c r="W21" s="56" t="e">
        <f t="shared" si="0"/>
        <v>#REF!</v>
      </c>
      <c r="X21" s="56"/>
      <c r="Y21" s="56"/>
      <c r="Z21" s="56"/>
      <c r="AA21" s="56"/>
      <c r="AB21" s="56"/>
      <c r="AC21" s="56"/>
      <c r="AD21" s="56"/>
      <c r="AE21" s="56"/>
      <c r="AF21" s="56"/>
      <c r="AG21" s="56"/>
    </row>
    <row r="22" spans="1:33" x14ac:dyDescent="0.25">
      <c r="A22" s="558"/>
      <c r="B22" s="409"/>
      <c r="C22" s="1" t="s">
        <v>340</v>
      </c>
      <c r="D22" s="187" t="e">
        <f>'S. ADMINISTRATIVO'!#REF!</f>
        <v>#REF!</v>
      </c>
      <c r="E22" s="560"/>
      <c r="F22" s="394"/>
      <c r="J22" s="608"/>
      <c r="K22" s="609"/>
      <c r="L22" s="609"/>
      <c r="M22" s="613"/>
      <c r="N22" s="605"/>
      <c r="O22" s="56"/>
      <c r="P22" s="56"/>
      <c r="Q22" s="56"/>
      <c r="R22" s="56"/>
      <c r="S22" s="56"/>
      <c r="T22" s="56"/>
      <c r="U22" s="56"/>
      <c r="V22" s="56"/>
      <c r="W22" s="56" t="e">
        <f t="shared" si="0"/>
        <v>#REF!</v>
      </c>
      <c r="X22" s="56"/>
      <c r="Y22" s="56"/>
      <c r="Z22" s="56"/>
      <c r="AA22" s="56"/>
      <c r="AB22" s="56"/>
      <c r="AC22" s="56"/>
      <c r="AD22" s="56"/>
      <c r="AE22" s="56"/>
      <c r="AF22" s="56"/>
      <c r="AG22" s="56"/>
    </row>
    <row r="23" spans="1:33" ht="15" customHeight="1" thickBot="1" x14ac:dyDescent="0.3">
      <c r="A23" s="559"/>
      <c r="B23" s="410"/>
      <c r="C23" s="1" t="s">
        <v>342</v>
      </c>
      <c r="D23" s="187" t="e">
        <f>'S. ADMINISTRATIVO'!#REF!</f>
        <v>#REF!</v>
      </c>
      <c r="E23" s="560"/>
      <c r="F23" s="394"/>
      <c r="J23" s="610"/>
      <c r="K23" s="611"/>
      <c r="L23" s="611"/>
      <c r="M23" s="614"/>
      <c r="N23" s="606"/>
      <c r="O23" s="56"/>
      <c r="P23" s="56"/>
      <c r="Q23" s="56"/>
      <c r="R23" s="56"/>
      <c r="S23" s="56"/>
      <c r="T23" s="56"/>
      <c r="U23" s="56"/>
      <c r="V23" s="56"/>
      <c r="W23" s="56" t="e">
        <f t="shared" si="0"/>
        <v>#REF!</v>
      </c>
      <c r="X23" s="56"/>
      <c r="Y23" s="56"/>
      <c r="Z23" s="56"/>
      <c r="AA23" s="56"/>
      <c r="AB23" s="56"/>
      <c r="AC23" s="56"/>
      <c r="AD23" s="56"/>
      <c r="AE23" s="56"/>
      <c r="AF23" s="56"/>
      <c r="AG23" s="56"/>
    </row>
    <row r="24" spans="1:33" ht="45" x14ac:dyDescent="0.25">
      <c r="A24" s="68" t="str">
        <f>'S. ADMINISTRATIVO'!B26</f>
        <v>SA-PY5.  Reestructuración Organizacional académica y administrativa.</v>
      </c>
      <c r="B24" s="71">
        <v>0.1</v>
      </c>
      <c r="C24" s="1" t="s">
        <v>347</v>
      </c>
      <c r="D24" s="173" t="e">
        <f>'S. ADMINISTRATIVO'!#REF!</f>
        <v>#REF!</v>
      </c>
      <c r="E24" s="50" t="e">
        <f>B24*AD13</f>
        <v>#DIV/0!</v>
      </c>
      <c r="F24" s="142">
        <f>AG12</f>
        <v>0</v>
      </c>
      <c r="J24" s="607" t="s">
        <v>587</v>
      </c>
      <c r="K24" s="607"/>
      <c r="L24" s="607"/>
      <c r="M24" s="151" t="e">
        <f>((M8+M10+M12+M14+M17+M19+M21)/7)</f>
        <v>#REF!</v>
      </c>
      <c r="N24" s="151">
        <f>(N8+N10+N12+N14+N17+N19+N21)/7</f>
        <v>0</v>
      </c>
      <c r="O24" s="56"/>
      <c r="P24" s="56"/>
      <c r="Q24" s="56"/>
      <c r="R24" s="56"/>
      <c r="S24" s="56"/>
      <c r="T24" s="56"/>
      <c r="U24" s="56"/>
      <c r="V24" s="56"/>
      <c r="W24" s="56" t="e">
        <f t="shared" si="0"/>
        <v>#REF!</v>
      </c>
      <c r="X24" s="56"/>
      <c r="Y24" s="56"/>
      <c r="Z24" s="56"/>
      <c r="AA24" s="56"/>
      <c r="AB24" s="56"/>
      <c r="AC24" s="56"/>
      <c r="AD24" s="56"/>
      <c r="AE24" s="56"/>
      <c r="AF24" s="56"/>
      <c r="AG24" s="56"/>
    </row>
    <row r="25" spans="1:33" ht="45" x14ac:dyDescent="0.25">
      <c r="A25" s="68" t="str">
        <f>'S. ADMINISTRATIVO'!B27</f>
        <v>SA-PY7. Formación y Capacitación al Personal Administrativo y Operativo.</v>
      </c>
      <c r="B25" s="71">
        <v>0.15</v>
      </c>
      <c r="C25" s="1" t="s">
        <v>352</v>
      </c>
      <c r="D25" s="173" t="e">
        <f>'S. ADMINISTRATIVO'!#REF!</f>
        <v>#REF!</v>
      </c>
      <c r="E25" s="50" t="e">
        <f>B25*AD13</f>
        <v>#DIV/0!</v>
      </c>
      <c r="F25" s="142">
        <f>AG13</f>
        <v>0</v>
      </c>
      <c r="J25" s="56"/>
      <c r="K25" s="56"/>
      <c r="L25" s="56"/>
      <c r="M25" s="56"/>
      <c r="N25" s="56"/>
      <c r="O25" s="56"/>
      <c r="P25" s="56"/>
      <c r="Q25" s="56"/>
      <c r="R25" s="56"/>
      <c r="S25" s="56"/>
      <c r="T25" s="56"/>
      <c r="U25" s="56"/>
      <c r="V25" s="56"/>
      <c r="W25" s="56" t="e">
        <f t="shared" si="0"/>
        <v>#REF!</v>
      </c>
      <c r="X25" s="56"/>
      <c r="Y25" s="56"/>
      <c r="Z25" s="56"/>
      <c r="AA25" s="56"/>
      <c r="AB25" s="56"/>
      <c r="AC25" s="56"/>
      <c r="AD25" s="56"/>
      <c r="AE25" s="56"/>
      <c r="AF25" s="56"/>
      <c r="AG25" s="56"/>
    </row>
    <row r="26" spans="1:33" ht="15" customHeight="1" x14ac:dyDescent="0.25">
      <c r="A26" s="543" t="s">
        <v>387</v>
      </c>
      <c r="B26" s="543"/>
      <c r="C26" s="543"/>
      <c r="D26" s="543"/>
      <c r="E26" s="152" t="e">
        <f>(SUM(E8:E25)/7)</f>
        <v>#REF!</v>
      </c>
      <c r="F26" s="143">
        <f>SUM(F8:F25)/7</f>
        <v>0</v>
      </c>
      <c r="J26" s="56"/>
      <c r="K26" s="56"/>
      <c r="L26" s="56"/>
      <c r="M26" s="56"/>
      <c r="N26" s="56"/>
      <c r="O26" s="56"/>
      <c r="P26" s="56"/>
      <c r="Q26" s="56"/>
      <c r="R26" s="56"/>
      <c r="S26" s="56"/>
      <c r="T26" s="56"/>
      <c r="U26" s="56"/>
      <c r="V26" s="56"/>
      <c r="W26" s="56" t="str">
        <f t="shared" si="0"/>
        <v>Rojo</v>
      </c>
      <c r="X26" s="56"/>
      <c r="Y26" s="56"/>
      <c r="Z26" s="56"/>
      <c r="AA26" s="56"/>
      <c r="AB26" s="56"/>
      <c r="AC26" s="56"/>
      <c r="AD26" s="56"/>
      <c r="AE26" s="56"/>
      <c r="AF26" s="56"/>
      <c r="AG26" s="56"/>
    </row>
    <row r="27" spans="1:33" x14ac:dyDescent="0.25">
      <c r="C27" s="65" t="s">
        <v>388</v>
      </c>
      <c r="W27" s="56" t="str">
        <f t="shared" si="0"/>
        <v>Rojo</v>
      </c>
    </row>
    <row r="28" spans="1:33" x14ac:dyDescent="0.25">
      <c r="W28" s="56" t="str">
        <f t="shared" si="0"/>
        <v>Rojo</v>
      </c>
    </row>
    <row r="29" spans="1:33" x14ac:dyDescent="0.25">
      <c r="W29" s="56" t="str">
        <f t="shared" si="0"/>
        <v>Rojo</v>
      </c>
    </row>
    <row r="30" spans="1:33" ht="15.75" x14ac:dyDescent="0.25">
      <c r="A30" s="63"/>
      <c r="B30" s="63"/>
      <c r="C30" s="63"/>
      <c r="D30" s="63"/>
      <c r="W30" s="56" t="str">
        <f t="shared" si="0"/>
        <v>Rojo</v>
      </c>
    </row>
    <row r="31" spans="1:33" ht="30" x14ac:dyDescent="0.25">
      <c r="A31" s="175" t="s">
        <v>377</v>
      </c>
      <c r="B31" s="175" t="s">
        <v>593</v>
      </c>
      <c r="C31" s="175" t="s">
        <v>596</v>
      </c>
      <c r="D31" s="175" t="s">
        <v>7</v>
      </c>
      <c r="W31" s="56" t="str">
        <f t="shared" si="0"/>
        <v>Azul</v>
      </c>
    </row>
    <row r="32" spans="1:33" ht="30" x14ac:dyDescent="0.25">
      <c r="A32" s="10" t="str">
        <f>A8</f>
        <v>SA-PY2.a  Construcción y mantenimiento de las Sedes.</v>
      </c>
      <c r="B32" s="176" t="e">
        <f>AD8</f>
        <v>#REF!</v>
      </c>
      <c r="C32" s="176">
        <f>F8</f>
        <v>0</v>
      </c>
      <c r="D32" s="176" t="e">
        <f>(B32+C32)/2</f>
        <v>#REF!</v>
      </c>
      <c r="W32" s="56" t="e">
        <f t="shared" si="0"/>
        <v>#REF!</v>
      </c>
    </row>
    <row r="33" spans="1:23" ht="30" x14ac:dyDescent="0.25">
      <c r="A33" s="10" t="str">
        <f>A13</f>
        <v>SA-PY2.b  Desarrollo, dotación y Mantenimiento de las Sedes.</v>
      </c>
      <c r="B33" s="234" t="e">
        <f t="shared" ref="B33:B37" si="4">AD9</f>
        <v>#DIV/0!</v>
      </c>
      <c r="C33" s="176">
        <f>F13</f>
        <v>0</v>
      </c>
      <c r="D33" s="176" t="e">
        <f t="shared" ref="D33:D37" si="5">(B33+C33)/2</f>
        <v>#DIV/0!</v>
      </c>
      <c r="W33" s="56" t="e">
        <f t="shared" si="0"/>
        <v>#DIV/0!</v>
      </c>
    </row>
    <row r="34" spans="1:23" ht="30" x14ac:dyDescent="0.25">
      <c r="A34" s="10" t="str">
        <f>A20</f>
        <v>Proyecto SA-PY2c. Desarrollo Proyectos Institucionales</v>
      </c>
      <c r="B34" s="234" t="e">
        <f t="shared" si="4"/>
        <v>#DIV/0!</v>
      </c>
      <c r="C34" s="176">
        <f>F20</f>
        <v>0</v>
      </c>
      <c r="D34" s="176" t="e">
        <f t="shared" si="5"/>
        <v>#DIV/0!</v>
      </c>
      <c r="W34" s="56" t="e">
        <f t="shared" si="0"/>
        <v>#DIV/0!</v>
      </c>
    </row>
    <row r="35" spans="1:23" ht="45" x14ac:dyDescent="0.25">
      <c r="A35" s="10" t="str">
        <f>A21</f>
        <v>SA-PY3.  Aseguramiento de los sistemas de Gestión de Calidad y Gestión Ambiental.</v>
      </c>
      <c r="B35" s="234" t="e">
        <f t="shared" si="4"/>
        <v>#DIV/0!</v>
      </c>
      <c r="C35" s="176">
        <f>F21</f>
        <v>0</v>
      </c>
      <c r="D35" s="176" t="e">
        <f t="shared" si="5"/>
        <v>#DIV/0!</v>
      </c>
      <c r="W35" s="56" t="e">
        <f t="shared" si="0"/>
        <v>#DIV/0!</v>
      </c>
    </row>
    <row r="36" spans="1:23" ht="45" x14ac:dyDescent="0.25">
      <c r="A36" s="10" t="str">
        <f>A24</f>
        <v>SA-PY5.  Reestructuración Organizacional académica y administrativa.</v>
      </c>
      <c r="B36" s="234" t="e">
        <f t="shared" si="4"/>
        <v>#DIV/0!</v>
      </c>
      <c r="C36" s="176">
        <f>F24</f>
        <v>0</v>
      </c>
      <c r="D36" s="176" t="e">
        <f t="shared" si="5"/>
        <v>#DIV/0!</v>
      </c>
      <c r="W36" s="56" t="e">
        <f t="shared" si="0"/>
        <v>#DIV/0!</v>
      </c>
    </row>
    <row r="37" spans="1:23" ht="45" x14ac:dyDescent="0.25">
      <c r="A37" s="10" t="str">
        <f>A25</f>
        <v>SA-PY7. Formación y Capacitación al Personal Administrativo y Operativo.</v>
      </c>
      <c r="B37" s="234" t="e">
        <f t="shared" si="4"/>
        <v>#DIV/0!</v>
      </c>
      <c r="C37" s="176">
        <f>F25</f>
        <v>0</v>
      </c>
      <c r="D37" s="176" t="e">
        <f t="shared" si="5"/>
        <v>#DIV/0!</v>
      </c>
      <c r="W37" s="56" t="e">
        <f t="shared" si="0"/>
        <v>#DIV/0!</v>
      </c>
    </row>
    <row r="38" spans="1:23" x14ac:dyDescent="0.25">
      <c r="A38" s="177" t="s">
        <v>592</v>
      </c>
      <c r="B38" s="176" t="e">
        <f>AVERAGE(B32:B37)</f>
        <v>#REF!</v>
      </c>
      <c r="C38" s="176">
        <f>AVERAGE(C32:C37)</f>
        <v>0</v>
      </c>
      <c r="D38" s="176" t="e">
        <f>AVERAGE(D32:D37)</f>
        <v>#REF!</v>
      </c>
      <c r="W38" s="56" t="e">
        <f>IF(#REF!&lt;16%,"Rojo",IF(#REF!&lt;37%,"Amarillo",IF(#REF!&lt;50.1%,"Verde","Azul")))</f>
        <v>#REF!</v>
      </c>
    </row>
    <row r="39" spans="1:23" x14ac:dyDescent="0.25">
      <c r="W39" s="56" t="e">
        <f>IF(D38&lt;16%,"Rojo",IF(D38&lt;37%,"Amarillo",IF(D38&lt;50.1%,"Verde","Azul")))</f>
        <v>#REF!</v>
      </c>
    </row>
    <row r="40" spans="1:23" x14ac:dyDescent="0.25">
      <c r="W40" s="56" t="str">
        <f t="shared" si="0"/>
        <v>Rojo</v>
      </c>
    </row>
    <row r="41" spans="1:23" ht="15.75" x14ac:dyDescent="0.25">
      <c r="J41" s="582" t="s">
        <v>385</v>
      </c>
      <c r="K41" s="582"/>
      <c r="L41" s="582"/>
      <c r="M41" s="582"/>
      <c r="N41" s="582"/>
      <c r="W41" s="56" t="str">
        <f t="shared" si="0"/>
        <v>Rojo</v>
      </c>
    </row>
    <row r="42" spans="1:23" ht="15.75" x14ac:dyDescent="0.25">
      <c r="J42" s="582" t="s">
        <v>356</v>
      </c>
      <c r="K42" s="582"/>
      <c r="L42" s="582"/>
      <c r="M42" s="582"/>
      <c r="N42" s="582"/>
      <c r="W42" s="56" t="str">
        <f t="shared" si="0"/>
        <v>Rojo</v>
      </c>
    </row>
    <row r="43" spans="1:23" ht="15.75" x14ac:dyDescent="0.25">
      <c r="J43" s="582" t="s">
        <v>384</v>
      </c>
      <c r="K43" s="582"/>
      <c r="L43" s="582"/>
      <c r="M43" s="582"/>
      <c r="N43" s="582"/>
      <c r="W43" s="56" t="str">
        <f t="shared" si="0"/>
        <v>Rojo</v>
      </c>
    </row>
    <row r="44" spans="1:23" x14ac:dyDescent="0.25">
      <c r="J44" s="599" t="s">
        <v>10</v>
      </c>
      <c r="K44" s="599"/>
      <c r="L44" s="599"/>
      <c r="M44" s="135" t="s">
        <v>589</v>
      </c>
      <c r="N44" s="135" t="s">
        <v>588</v>
      </c>
      <c r="W44" s="56" t="str">
        <f t="shared" si="0"/>
        <v>Rojo</v>
      </c>
    </row>
    <row r="45" spans="1:23" x14ac:dyDescent="0.25">
      <c r="J45" s="577" t="str">
        <f>J8</f>
        <v>SA-PY2.a  Construcción y mantenimiento de las Sedes.</v>
      </c>
      <c r="K45" s="577"/>
      <c r="L45" s="577"/>
      <c r="M45" s="566">
        <v>0.33329999999999999</v>
      </c>
      <c r="N45" s="566" t="e">
        <f>M8</f>
        <v>#REF!</v>
      </c>
      <c r="W45" s="56" t="str">
        <f t="shared" si="0"/>
        <v>Rojo</v>
      </c>
    </row>
    <row r="46" spans="1:23" x14ac:dyDescent="0.25">
      <c r="J46" s="577"/>
      <c r="K46" s="577"/>
      <c r="L46" s="577"/>
      <c r="M46" s="566"/>
      <c r="N46" s="566"/>
      <c r="W46" s="56" t="str">
        <f t="shared" si="0"/>
        <v>Rojo</v>
      </c>
    </row>
    <row r="47" spans="1:23" x14ac:dyDescent="0.25">
      <c r="J47" s="577">
        <f>J10</f>
        <v>0</v>
      </c>
      <c r="K47" s="577"/>
      <c r="L47" s="577"/>
      <c r="M47" s="566">
        <v>0</v>
      </c>
      <c r="N47" s="566" t="e">
        <f>M10</f>
        <v>#DIV/0!</v>
      </c>
      <c r="W47" s="56"/>
    </row>
    <row r="48" spans="1:23" x14ac:dyDescent="0.25">
      <c r="J48" s="577"/>
      <c r="K48" s="577"/>
      <c r="L48" s="577"/>
      <c r="M48" s="566"/>
      <c r="N48" s="566"/>
      <c r="W48" s="56"/>
    </row>
    <row r="49" spans="10:23" x14ac:dyDescent="0.25">
      <c r="J49" s="577" t="str">
        <f>J12</f>
        <v>SA-PY2.b  Desarrollo, dotación y Mantenimiento de las Sedes.</v>
      </c>
      <c r="K49" s="577"/>
      <c r="L49" s="577"/>
      <c r="M49" s="566">
        <v>0.42859999999999998</v>
      </c>
      <c r="N49" s="566" t="e">
        <f>M12</f>
        <v>#DIV/0!</v>
      </c>
      <c r="W49" s="56"/>
    </row>
    <row r="50" spans="10:23" x14ac:dyDescent="0.25">
      <c r="J50" s="577"/>
      <c r="K50" s="577"/>
      <c r="L50" s="577"/>
      <c r="M50" s="566"/>
      <c r="N50" s="566"/>
      <c r="W50" s="56"/>
    </row>
    <row r="51" spans="10:23" x14ac:dyDescent="0.25">
      <c r="J51" s="577" t="str">
        <f>J14</f>
        <v>Proyecto SA-PY2c. Desarrollo Proyectos Institucionales</v>
      </c>
      <c r="K51" s="577"/>
      <c r="L51" s="577"/>
      <c r="M51" s="566">
        <v>1</v>
      </c>
      <c r="N51" s="483" t="e">
        <f>M14</f>
        <v>#DIV/0!</v>
      </c>
      <c r="W51" s="56"/>
    </row>
    <row r="52" spans="10:23" x14ac:dyDescent="0.25">
      <c r="J52" s="577"/>
      <c r="K52" s="577"/>
      <c r="L52" s="577"/>
      <c r="M52" s="566"/>
      <c r="N52" s="484"/>
      <c r="W52" s="56"/>
    </row>
    <row r="53" spans="10:23" x14ac:dyDescent="0.25">
      <c r="J53" s="577"/>
      <c r="K53" s="577"/>
      <c r="L53" s="577"/>
      <c r="M53" s="566"/>
      <c r="N53" s="484"/>
      <c r="W53" s="56"/>
    </row>
    <row r="54" spans="10:23" x14ac:dyDescent="0.25">
      <c r="J54" s="577"/>
      <c r="K54" s="577"/>
      <c r="L54" s="577"/>
      <c r="M54" s="566"/>
      <c r="N54" s="485"/>
      <c r="W54" s="56"/>
    </row>
    <row r="55" spans="10:23" x14ac:dyDescent="0.25">
      <c r="J55" s="577" t="str">
        <f>J17</f>
        <v>SA-PY3.  Aseguramiento de los sistemas de Gestión de Calidad y Gestión Ambiental.</v>
      </c>
      <c r="K55" s="577"/>
      <c r="L55" s="577"/>
      <c r="M55" s="566">
        <v>0.67</v>
      </c>
      <c r="N55" s="566" t="e">
        <f>M17</f>
        <v>#DIV/0!</v>
      </c>
      <c r="W55" s="56"/>
    </row>
    <row r="56" spans="10:23" x14ac:dyDescent="0.25">
      <c r="J56" s="577"/>
      <c r="K56" s="577"/>
      <c r="L56" s="577"/>
      <c r="M56" s="566"/>
      <c r="N56" s="566"/>
    </row>
    <row r="57" spans="10:23" x14ac:dyDescent="0.25">
      <c r="J57" s="577" t="str">
        <f>J19</f>
        <v>SA-PY5.  Reestructuración Organizacional académica y administrativa.</v>
      </c>
      <c r="K57" s="577"/>
      <c r="L57" s="577"/>
      <c r="M57" s="566">
        <v>0</v>
      </c>
      <c r="N57" s="566" t="e">
        <f>M19</f>
        <v>#DIV/0!</v>
      </c>
    </row>
    <row r="58" spans="10:23" x14ac:dyDescent="0.25">
      <c r="J58" s="577"/>
      <c r="K58" s="577"/>
      <c r="L58" s="577"/>
      <c r="M58" s="566"/>
      <c r="N58" s="566"/>
    </row>
    <row r="59" spans="10:23" x14ac:dyDescent="0.25">
      <c r="J59" s="601" t="str">
        <f>J21</f>
        <v>SA-PY7. Formación y Capacitación al Personal Administrativo y Operativo.</v>
      </c>
      <c r="K59" s="601"/>
      <c r="L59" s="601"/>
      <c r="M59" s="566">
        <v>1</v>
      </c>
      <c r="N59" s="566">
        <f>M21</f>
        <v>0</v>
      </c>
    </row>
    <row r="60" spans="10:23" x14ac:dyDescent="0.25">
      <c r="J60" s="602"/>
      <c r="K60" s="602"/>
      <c r="L60" s="602"/>
      <c r="M60" s="566"/>
      <c r="N60" s="566"/>
    </row>
    <row r="61" spans="10:23" x14ac:dyDescent="0.25">
      <c r="J61" s="603" t="s">
        <v>587</v>
      </c>
      <c r="K61" s="603"/>
      <c r="L61" s="603"/>
      <c r="M61" s="167">
        <f>AVERAGE(M45:M60)</f>
        <v>0.49027142857142858</v>
      </c>
      <c r="N61" s="167" t="e">
        <f>AVERAGE(N45:N60)</f>
        <v>#REF!</v>
      </c>
    </row>
    <row r="62" spans="10:23" x14ac:dyDescent="0.25">
      <c r="J62" s="172"/>
      <c r="K62" s="172"/>
      <c r="L62" s="172"/>
      <c r="M62" s="172"/>
      <c r="N62" s="172"/>
    </row>
    <row r="64" spans="10:23" x14ac:dyDescent="0.25">
      <c r="J64" s="168"/>
      <c r="K64" s="168"/>
      <c r="L64" s="168"/>
      <c r="M64" s="169"/>
      <c r="N64" s="170"/>
    </row>
    <row r="65" spans="10:14" x14ac:dyDescent="0.25">
      <c r="J65" s="600"/>
      <c r="K65" s="600"/>
      <c r="L65" s="600"/>
      <c r="M65" s="600"/>
      <c r="N65" s="600"/>
    </row>
    <row r="66" spans="10:14" x14ac:dyDescent="0.25">
      <c r="J66" s="600"/>
      <c r="K66" s="600"/>
      <c r="L66" s="600"/>
      <c r="M66" s="600"/>
      <c r="N66" s="600"/>
    </row>
    <row r="67" spans="10:14" x14ac:dyDescent="0.25">
      <c r="J67" s="600"/>
      <c r="K67" s="600"/>
      <c r="L67" s="600"/>
      <c r="M67" s="600"/>
      <c r="N67" s="600"/>
    </row>
  </sheetData>
  <mergeCells count="72">
    <mergeCell ref="J3:N3"/>
    <mergeCell ref="J4:N4"/>
    <mergeCell ref="J5:N5"/>
    <mergeCell ref="P5:R5"/>
    <mergeCell ref="A6:F6"/>
    <mergeCell ref="J6:L7"/>
    <mergeCell ref="P6:R6"/>
    <mergeCell ref="N8:N9"/>
    <mergeCell ref="J10:L11"/>
    <mergeCell ref="M10:M11"/>
    <mergeCell ref="N10:N11"/>
    <mergeCell ref="J12:L13"/>
    <mergeCell ref="M12:M13"/>
    <mergeCell ref="N12:N13"/>
    <mergeCell ref="M8:M9"/>
    <mergeCell ref="J8:L9"/>
    <mergeCell ref="B11:B12"/>
    <mergeCell ref="E11:E12"/>
    <mergeCell ref="J14:L16"/>
    <mergeCell ref="A13:A19"/>
    <mergeCell ref="B13:B19"/>
    <mergeCell ref="E13:E19"/>
    <mergeCell ref="F13:F19"/>
    <mergeCell ref="F8:F12"/>
    <mergeCell ref="A8:A12"/>
    <mergeCell ref="B8:B10"/>
    <mergeCell ref="E8:E10"/>
    <mergeCell ref="N14:N16"/>
    <mergeCell ref="J17:L18"/>
    <mergeCell ref="M17:M18"/>
    <mergeCell ref="N17:N18"/>
    <mergeCell ref="J19:L20"/>
    <mergeCell ref="M19:M20"/>
    <mergeCell ref="N19:N20"/>
    <mergeCell ref="M14:M16"/>
    <mergeCell ref="J49:L50"/>
    <mergeCell ref="M49:M50"/>
    <mergeCell ref="N49:N50"/>
    <mergeCell ref="A21:A23"/>
    <mergeCell ref="B21:B23"/>
    <mergeCell ref="E21:E23"/>
    <mergeCell ref="F21:F23"/>
    <mergeCell ref="N21:N23"/>
    <mergeCell ref="J24:L24"/>
    <mergeCell ref="J21:L23"/>
    <mergeCell ref="M21:M23"/>
    <mergeCell ref="A26:D26"/>
    <mergeCell ref="J47:L48"/>
    <mergeCell ref="J41:N41"/>
    <mergeCell ref="J42:N42"/>
    <mergeCell ref="J43:N43"/>
    <mergeCell ref="M51:M54"/>
    <mergeCell ref="N51:N54"/>
    <mergeCell ref="J55:L56"/>
    <mergeCell ref="M55:M56"/>
    <mergeCell ref="N55:N56"/>
    <mergeCell ref="J51:L54"/>
    <mergeCell ref="M65:N67"/>
    <mergeCell ref="J57:L58"/>
    <mergeCell ref="M57:M58"/>
    <mergeCell ref="N57:N58"/>
    <mergeCell ref="J59:L60"/>
    <mergeCell ref="M59:M60"/>
    <mergeCell ref="N59:N60"/>
    <mergeCell ref="J65:L67"/>
    <mergeCell ref="J61:L61"/>
    <mergeCell ref="J44:L44"/>
    <mergeCell ref="J45:L46"/>
    <mergeCell ref="M45:M46"/>
    <mergeCell ref="N45:N46"/>
    <mergeCell ref="M47:M48"/>
    <mergeCell ref="N47:N48"/>
  </mergeCells>
  <conditionalFormatting sqref="D8:D25">
    <cfRule type="cellIs" dxfId="127" priority="149" operator="greaterThan">
      <formula>50%</formula>
    </cfRule>
    <cfRule type="cellIs" dxfId="126" priority="150" operator="between">
      <formula>37.1%</formula>
      <formula>50%</formula>
    </cfRule>
    <cfRule type="cellIs" dxfId="125" priority="151" operator="between">
      <formula>16%</formula>
      <formula>37%</formula>
    </cfRule>
    <cfRule type="cellIs" dxfId="124" priority="152" operator="lessThan">
      <formula>16%</formula>
    </cfRule>
  </conditionalFormatting>
  <conditionalFormatting sqref="N8">
    <cfRule type="cellIs" dxfId="123" priority="145" operator="greaterThan">
      <formula>24%</formula>
    </cfRule>
    <cfRule type="cellIs" dxfId="122" priority="146" operator="between">
      <formula>20%</formula>
      <formula>24%</formula>
    </cfRule>
    <cfRule type="cellIs" dxfId="121" priority="147" operator="between">
      <formula>9%</formula>
      <formula>19%</formula>
    </cfRule>
    <cfRule type="cellIs" dxfId="120" priority="148" operator="lessThan">
      <formula>9%</formula>
    </cfRule>
  </conditionalFormatting>
  <conditionalFormatting sqref="M8">
    <cfRule type="cellIs" dxfId="119" priority="121" operator="greaterThan">
      <formula>24%</formula>
    </cfRule>
    <cfRule type="cellIs" dxfId="118" priority="122" operator="between">
      <formula>20%</formula>
      <formula>24%</formula>
    </cfRule>
    <cfRule type="cellIs" dxfId="117" priority="123" operator="between">
      <formula>9%</formula>
      <formula>19%</formula>
    </cfRule>
    <cfRule type="cellIs" dxfId="116" priority="124" operator="lessThan">
      <formula>9%</formula>
    </cfRule>
  </conditionalFormatting>
  <conditionalFormatting sqref="M19">
    <cfRule type="cellIs" dxfId="115" priority="101" operator="greaterThan">
      <formula>24%</formula>
    </cfRule>
    <cfRule type="cellIs" dxfId="114" priority="102" operator="between">
      <formula>20%</formula>
      <formula>24%</formula>
    </cfRule>
    <cfRule type="cellIs" dxfId="113" priority="103" operator="between">
      <formula>9%</formula>
      <formula>19%</formula>
    </cfRule>
    <cfRule type="cellIs" dxfId="112" priority="104" operator="lessThan">
      <formula>9%</formula>
    </cfRule>
  </conditionalFormatting>
  <conditionalFormatting sqref="N10">
    <cfRule type="cellIs" dxfId="111" priority="141" operator="greaterThan">
      <formula>24%</formula>
    </cfRule>
    <cfRule type="cellIs" dxfId="110" priority="142" operator="between">
      <formula>20%</formula>
      <formula>24%</formula>
    </cfRule>
    <cfRule type="cellIs" dxfId="109" priority="143" operator="between">
      <formula>9%</formula>
      <formula>19%</formula>
    </cfRule>
    <cfRule type="cellIs" dxfId="108" priority="144" operator="lessThan">
      <formula>9%</formula>
    </cfRule>
  </conditionalFormatting>
  <conditionalFormatting sqref="N12">
    <cfRule type="cellIs" dxfId="107" priority="137" operator="greaterThan">
      <formula>24%</formula>
    </cfRule>
    <cfRule type="cellIs" dxfId="106" priority="138" operator="between">
      <formula>20%</formula>
      <formula>24%</formula>
    </cfRule>
    <cfRule type="cellIs" dxfId="105" priority="139" operator="between">
      <formula>9%</formula>
      <formula>19%</formula>
    </cfRule>
    <cfRule type="cellIs" dxfId="104" priority="140" operator="lessThan">
      <formula>9%</formula>
    </cfRule>
  </conditionalFormatting>
  <conditionalFormatting sqref="N14">
    <cfRule type="cellIs" dxfId="103" priority="133" operator="greaterThan">
      <formula>24%</formula>
    </cfRule>
    <cfRule type="cellIs" dxfId="102" priority="134" operator="between">
      <formula>20%</formula>
      <formula>24%</formula>
    </cfRule>
    <cfRule type="cellIs" dxfId="101" priority="135" operator="between">
      <formula>9%</formula>
      <formula>19%</formula>
    </cfRule>
    <cfRule type="cellIs" dxfId="100" priority="136" operator="lessThan">
      <formula>9%</formula>
    </cfRule>
  </conditionalFormatting>
  <conditionalFormatting sqref="N17">
    <cfRule type="cellIs" dxfId="99" priority="129" operator="greaterThan">
      <formula>24%</formula>
    </cfRule>
    <cfRule type="cellIs" dxfId="98" priority="130" operator="between">
      <formula>20%</formula>
      <formula>24%</formula>
    </cfRule>
    <cfRule type="cellIs" dxfId="97" priority="131" operator="between">
      <formula>9%</formula>
      <formula>19%</formula>
    </cfRule>
    <cfRule type="cellIs" dxfId="96" priority="132" operator="lessThan">
      <formula>9%</formula>
    </cfRule>
  </conditionalFormatting>
  <conditionalFormatting sqref="N19">
    <cfRule type="cellIs" dxfId="95" priority="125" operator="greaterThan">
      <formula>24%</formula>
    </cfRule>
    <cfRule type="cellIs" dxfId="94" priority="126" operator="between">
      <formula>20%</formula>
      <formula>24%</formula>
    </cfRule>
    <cfRule type="cellIs" dxfId="93" priority="127" operator="between">
      <formula>9%</formula>
      <formula>19%</formula>
    </cfRule>
    <cfRule type="cellIs" dxfId="92" priority="128" operator="lessThan">
      <formula>9%</formula>
    </cfRule>
  </conditionalFormatting>
  <conditionalFormatting sqref="M10">
    <cfRule type="cellIs" dxfId="91" priority="117" operator="greaterThan">
      <formula>24%</formula>
    </cfRule>
    <cfRule type="cellIs" dxfId="90" priority="118" operator="between">
      <formula>20%</formula>
      <formula>24%</formula>
    </cfRule>
    <cfRule type="cellIs" dxfId="89" priority="119" operator="between">
      <formula>9%</formula>
      <formula>19%</formula>
    </cfRule>
    <cfRule type="cellIs" dxfId="88" priority="120" operator="lessThan">
      <formula>9%</formula>
    </cfRule>
  </conditionalFormatting>
  <conditionalFormatting sqref="M12">
    <cfRule type="cellIs" dxfId="87" priority="113" operator="greaterThan">
      <formula>24%</formula>
    </cfRule>
    <cfRule type="cellIs" dxfId="86" priority="114" operator="between">
      <formula>20%</formula>
      <formula>24%</formula>
    </cfRule>
    <cfRule type="cellIs" dxfId="85" priority="115" operator="between">
      <formula>9%</formula>
      <formula>19%</formula>
    </cfRule>
    <cfRule type="cellIs" dxfId="84" priority="116" operator="lessThan">
      <formula>9%</formula>
    </cfRule>
  </conditionalFormatting>
  <conditionalFormatting sqref="M14">
    <cfRule type="cellIs" dxfId="83" priority="109" operator="greaterThan">
      <formula>24%</formula>
    </cfRule>
    <cfRule type="cellIs" dxfId="82" priority="110" operator="between">
      <formula>20%</formula>
      <formula>24%</formula>
    </cfRule>
    <cfRule type="cellIs" dxfId="81" priority="111" operator="between">
      <formula>9%</formula>
      <formula>19%</formula>
    </cfRule>
    <cfRule type="cellIs" dxfId="80" priority="112" operator="lessThan">
      <formula>9%</formula>
    </cfRule>
  </conditionalFormatting>
  <conditionalFormatting sqref="M17">
    <cfRule type="cellIs" dxfId="79" priority="105" operator="greaterThan">
      <formula>24%</formula>
    </cfRule>
    <cfRule type="cellIs" dxfId="78" priority="106" operator="between">
      <formula>20%</formula>
      <formula>24%</formula>
    </cfRule>
    <cfRule type="cellIs" dxfId="77" priority="107" operator="between">
      <formula>9%</formula>
      <formula>19%</formula>
    </cfRule>
    <cfRule type="cellIs" dxfId="76" priority="108" operator="lessThan">
      <formula>9%</formula>
    </cfRule>
  </conditionalFormatting>
  <conditionalFormatting sqref="N45">
    <cfRule type="cellIs" dxfId="75" priority="97" operator="greaterThan">
      <formula>50%</formula>
    </cfRule>
    <cfRule type="cellIs" dxfId="74" priority="98" operator="between">
      <formula>37%</formula>
      <formula>50%</formula>
    </cfRule>
    <cfRule type="cellIs" dxfId="73" priority="99" operator="between">
      <formula>16%</formula>
      <formula>37%</formula>
    </cfRule>
    <cfRule type="cellIs" dxfId="72" priority="100" operator="lessThan">
      <formula>16%</formula>
    </cfRule>
  </conditionalFormatting>
  <conditionalFormatting sqref="M45">
    <cfRule type="cellIs" dxfId="71" priority="73" operator="greaterThan">
      <formula>24%</formula>
    </cfRule>
    <cfRule type="cellIs" dxfId="70" priority="74" operator="between">
      <formula>20%</formula>
      <formula>24%</formula>
    </cfRule>
    <cfRule type="cellIs" dxfId="69" priority="75" operator="between">
      <formula>9%</formula>
      <formula>19%</formula>
    </cfRule>
    <cfRule type="cellIs" dxfId="68" priority="76" operator="lessThan">
      <formula>9%</formula>
    </cfRule>
  </conditionalFormatting>
  <conditionalFormatting sqref="M57">
    <cfRule type="cellIs" dxfId="67" priority="53" operator="greaterThan">
      <formula>24%</formula>
    </cfRule>
    <cfRule type="cellIs" dxfId="66" priority="54" operator="between">
      <formula>20%</formula>
      <formula>24%</formula>
    </cfRule>
    <cfRule type="cellIs" dxfId="65" priority="55" operator="between">
      <formula>9%</formula>
      <formula>19%</formula>
    </cfRule>
    <cfRule type="cellIs" dxfId="64" priority="56" operator="lessThan">
      <formula>9%</formula>
    </cfRule>
  </conditionalFormatting>
  <conditionalFormatting sqref="M47">
    <cfRule type="cellIs" dxfId="63" priority="69" operator="greaterThan">
      <formula>24%</formula>
    </cfRule>
    <cfRule type="cellIs" dxfId="62" priority="70" operator="between">
      <formula>20%</formula>
      <formula>24%</formula>
    </cfRule>
    <cfRule type="cellIs" dxfId="61" priority="71" operator="between">
      <formula>9%</formula>
      <formula>19%</formula>
    </cfRule>
    <cfRule type="cellIs" dxfId="60" priority="72" operator="lessThan">
      <formula>9%</formula>
    </cfRule>
  </conditionalFormatting>
  <conditionalFormatting sqref="M49">
    <cfRule type="cellIs" dxfId="59" priority="65" operator="greaterThan">
      <formula>24%</formula>
    </cfRule>
    <cfRule type="cellIs" dxfId="58" priority="66" operator="between">
      <formula>20%</formula>
      <formula>24%</formula>
    </cfRule>
    <cfRule type="cellIs" dxfId="57" priority="67" operator="between">
      <formula>9%</formula>
      <formula>19%</formula>
    </cfRule>
    <cfRule type="cellIs" dxfId="56" priority="68" operator="lessThan">
      <formula>9%</formula>
    </cfRule>
  </conditionalFormatting>
  <conditionalFormatting sqref="M51">
    <cfRule type="cellIs" dxfId="55" priority="61" operator="greaterThan">
      <formula>24%</formula>
    </cfRule>
    <cfRule type="cellIs" dxfId="54" priority="62" operator="between">
      <formula>20%</formula>
      <formula>24%</formula>
    </cfRule>
    <cfRule type="cellIs" dxfId="53" priority="63" operator="between">
      <formula>9%</formula>
      <formula>19%</formula>
    </cfRule>
    <cfRule type="cellIs" dxfId="52" priority="64" operator="lessThan">
      <formula>9%</formula>
    </cfRule>
  </conditionalFormatting>
  <conditionalFormatting sqref="M55">
    <cfRule type="cellIs" dxfId="51" priority="57" operator="greaterThan">
      <formula>24%</formula>
    </cfRule>
    <cfRule type="cellIs" dxfId="50" priority="58" operator="between">
      <formula>20%</formula>
      <formula>24%</formula>
    </cfRule>
    <cfRule type="cellIs" dxfId="49" priority="59" operator="between">
      <formula>9%</formula>
      <formula>19%</formula>
    </cfRule>
    <cfRule type="cellIs" dxfId="48" priority="60" operator="lessThan">
      <formula>9%</formula>
    </cfRule>
  </conditionalFormatting>
  <conditionalFormatting sqref="M21">
    <cfRule type="cellIs" dxfId="47" priority="49" operator="greaterThan">
      <formula>24%</formula>
    </cfRule>
    <cfRule type="cellIs" dxfId="46" priority="50" operator="between">
      <formula>20%</formula>
      <formula>24%</formula>
    </cfRule>
    <cfRule type="cellIs" dxfId="45" priority="51" operator="between">
      <formula>9%</formula>
      <formula>19%</formula>
    </cfRule>
    <cfRule type="cellIs" dxfId="44" priority="52" operator="lessThan">
      <formula>9%</formula>
    </cfRule>
  </conditionalFormatting>
  <conditionalFormatting sqref="N21">
    <cfRule type="cellIs" dxfId="43" priority="45" operator="greaterThan">
      <formula>24%</formula>
    </cfRule>
    <cfRule type="cellIs" dxfId="42" priority="46" operator="between">
      <formula>20%</formula>
      <formula>24%</formula>
    </cfRule>
    <cfRule type="cellIs" dxfId="41" priority="47" operator="between">
      <formula>9%</formula>
      <formula>19%</formula>
    </cfRule>
    <cfRule type="cellIs" dxfId="40" priority="48" operator="lessThan">
      <formula>9%</formula>
    </cfRule>
  </conditionalFormatting>
  <conditionalFormatting sqref="R8:R14">
    <cfRule type="cellIs" dxfId="39" priority="41" operator="greaterThan">
      <formula>50%</formula>
    </cfRule>
    <cfRule type="cellIs" dxfId="38" priority="42" operator="between">
      <formula>37.1%</formula>
      <formula>50%</formula>
    </cfRule>
    <cfRule type="cellIs" dxfId="37" priority="43" operator="between">
      <formula>16%</formula>
      <formula>37%</formula>
    </cfRule>
    <cfRule type="cellIs" dxfId="36" priority="44" operator="lessThan">
      <formula>16%</formula>
    </cfRule>
  </conditionalFormatting>
  <conditionalFormatting sqref="Q8:Q14">
    <cfRule type="cellIs" dxfId="35" priority="37" operator="greaterThan">
      <formula>24%</formula>
    </cfRule>
    <cfRule type="cellIs" dxfId="34" priority="38" operator="between">
      <formula>19.1%</formula>
      <formula>24%</formula>
    </cfRule>
    <cfRule type="cellIs" dxfId="33" priority="39" operator="between">
      <formula>9%</formula>
      <formula>19%</formula>
    </cfRule>
    <cfRule type="cellIs" dxfId="32" priority="40" operator="lessThan">
      <formula>9%</formula>
    </cfRule>
  </conditionalFormatting>
  <conditionalFormatting sqref="M59">
    <cfRule type="cellIs" dxfId="31" priority="33" operator="greaterThan">
      <formula>24%</formula>
    </cfRule>
    <cfRule type="cellIs" dxfId="30" priority="34" operator="between">
      <formula>20%</formula>
      <formula>24%</formula>
    </cfRule>
    <cfRule type="cellIs" dxfId="29" priority="35" operator="between">
      <formula>9%</formula>
      <formula>19%</formula>
    </cfRule>
    <cfRule type="cellIs" dxfId="28" priority="36" operator="lessThan">
      <formula>9%</formula>
    </cfRule>
  </conditionalFormatting>
  <conditionalFormatting sqref="N47">
    <cfRule type="cellIs" dxfId="27" priority="25" operator="greaterThan">
      <formula>50%</formula>
    </cfRule>
    <cfRule type="cellIs" dxfId="26" priority="26" operator="between">
      <formula>37%</formula>
      <formula>50%</formula>
    </cfRule>
    <cfRule type="cellIs" dxfId="25" priority="27" operator="between">
      <formula>16%</formula>
      <formula>37%</formula>
    </cfRule>
    <cfRule type="cellIs" dxfId="24" priority="28" operator="lessThan">
      <formula>16%</formula>
    </cfRule>
  </conditionalFormatting>
  <conditionalFormatting sqref="N49">
    <cfRule type="cellIs" dxfId="23" priority="21" operator="greaterThan">
      <formula>50%</formula>
    </cfRule>
    <cfRule type="cellIs" dxfId="22" priority="22" operator="between">
      <formula>37%</formula>
      <formula>50%</formula>
    </cfRule>
    <cfRule type="cellIs" dxfId="21" priority="23" operator="between">
      <formula>16%</formula>
      <formula>37%</formula>
    </cfRule>
    <cfRule type="cellIs" dxfId="20" priority="24" operator="lessThan">
      <formula>16%</formula>
    </cfRule>
  </conditionalFormatting>
  <conditionalFormatting sqref="N51">
    <cfRule type="cellIs" dxfId="19" priority="17" operator="greaterThan">
      <formula>50%</formula>
    </cfRule>
    <cfRule type="cellIs" dxfId="18" priority="18" operator="between">
      <formula>37%</formula>
      <formula>50%</formula>
    </cfRule>
    <cfRule type="cellIs" dxfId="17" priority="19" operator="between">
      <formula>16%</formula>
      <formula>37%</formula>
    </cfRule>
    <cfRule type="cellIs" dxfId="16" priority="20" operator="lessThan">
      <formula>16%</formula>
    </cfRule>
  </conditionalFormatting>
  <conditionalFormatting sqref="N55">
    <cfRule type="cellIs" dxfId="15" priority="13" operator="greaterThan">
      <formula>50%</formula>
    </cfRule>
    <cfRule type="cellIs" dxfId="14" priority="14" operator="between">
      <formula>37%</formula>
      <formula>50%</formula>
    </cfRule>
    <cfRule type="cellIs" dxfId="13" priority="15" operator="between">
      <formula>16%</formula>
      <formula>37%</formula>
    </cfRule>
    <cfRule type="cellIs" dxfId="12" priority="16" operator="lessThan">
      <formula>16%</formula>
    </cfRule>
  </conditionalFormatting>
  <conditionalFormatting sqref="N57">
    <cfRule type="cellIs" dxfId="11" priority="9" operator="greaterThan">
      <formula>50%</formula>
    </cfRule>
    <cfRule type="cellIs" dxfId="10" priority="10" operator="between">
      <formula>37%</formula>
      <formula>50%</formula>
    </cfRule>
    <cfRule type="cellIs" dxfId="9" priority="11" operator="between">
      <formula>16%</formula>
      <formula>37%</formula>
    </cfRule>
    <cfRule type="cellIs" dxfId="8" priority="12" operator="lessThan">
      <formula>16%</formula>
    </cfRule>
  </conditionalFormatting>
  <conditionalFormatting sqref="N59">
    <cfRule type="cellIs" dxfId="7" priority="5" operator="greaterThan">
      <formula>50%</formula>
    </cfRule>
    <cfRule type="cellIs" dxfId="6" priority="6" operator="between">
      <formula>37%</formula>
      <formula>50%</formula>
    </cfRule>
    <cfRule type="cellIs" dxfId="5" priority="7" operator="between">
      <formula>16%</formula>
      <formula>37%</formula>
    </cfRule>
    <cfRule type="cellIs" dxfId="4" priority="8" operator="lessThan">
      <formula>16%</formula>
    </cfRule>
  </conditionalFormatting>
  <conditionalFormatting sqref="B32:D38">
    <cfRule type="cellIs" dxfId="3" priority="1" operator="greaterThan">
      <formula>50%</formula>
    </cfRule>
    <cfRule type="cellIs" dxfId="2" priority="2" operator="between">
      <formula>37.1%</formula>
      <formula>50%</formula>
    </cfRule>
    <cfRule type="cellIs" dxfId="1" priority="3" operator="between">
      <formula>16%</formula>
      <formula>37%</formula>
    </cfRule>
    <cfRule type="cellIs" dxfId="0" priority="4" operator="lessThan">
      <formula>16%</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2"/>
  <sheetViews>
    <sheetView topLeftCell="A80" workbookViewId="0">
      <selection activeCell="F99" sqref="F99"/>
    </sheetView>
  </sheetViews>
  <sheetFormatPr baseColWidth="10" defaultRowHeight="15" x14ac:dyDescent="0.25"/>
  <cols>
    <col min="2" max="2" width="29.85546875" customWidth="1"/>
    <col min="3" max="3" width="28.85546875" customWidth="1"/>
    <col min="6" max="6" width="6.28515625" bestFit="1" customWidth="1"/>
    <col min="7" max="13" width="5.7109375" bestFit="1" customWidth="1"/>
    <col min="14" max="14" width="5.28515625" bestFit="1" customWidth="1"/>
    <col min="15" max="15" width="5.7109375" bestFit="1" customWidth="1"/>
    <col min="17" max="17" width="8.5703125" customWidth="1"/>
    <col min="18" max="26" width="5" bestFit="1" customWidth="1"/>
  </cols>
  <sheetData>
    <row r="1" spans="1:27" ht="15.75" thickBot="1" x14ac:dyDescent="0.3"/>
    <row r="2" spans="1:27" ht="15.75" thickBot="1" x14ac:dyDescent="0.3">
      <c r="A2" s="669" t="s">
        <v>400</v>
      </c>
      <c r="B2" s="669" t="s">
        <v>401</v>
      </c>
      <c r="C2" s="669" t="s">
        <v>402</v>
      </c>
      <c r="D2" s="669" t="s">
        <v>403</v>
      </c>
      <c r="E2" s="669" t="s">
        <v>404</v>
      </c>
      <c r="F2" s="678" t="s">
        <v>405</v>
      </c>
      <c r="G2" s="679"/>
      <c r="H2" s="679"/>
      <c r="I2" s="679"/>
      <c r="J2" s="679"/>
      <c r="K2" s="679"/>
      <c r="L2" s="679"/>
      <c r="M2" s="679"/>
      <c r="N2" s="679"/>
      <c r="O2" s="680"/>
      <c r="Q2" s="677" t="s">
        <v>425</v>
      </c>
      <c r="R2" s="677"/>
      <c r="S2" s="677"/>
      <c r="T2" s="677"/>
      <c r="U2" s="677"/>
      <c r="V2" s="677"/>
      <c r="W2" s="677"/>
      <c r="X2" s="677"/>
      <c r="Y2" s="677"/>
      <c r="Z2" s="677"/>
    </row>
    <row r="3" spans="1:27" ht="15.75" thickBot="1" x14ac:dyDescent="0.3">
      <c r="A3" s="670"/>
      <c r="B3" s="670"/>
      <c r="C3" s="670"/>
      <c r="D3" s="670"/>
      <c r="E3" s="670"/>
      <c r="F3" s="84">
        <v>2015</v>
      </c>
      <c r="G3" s="84">
        <v>2016</v>
      </c>
      <c r="H3" s="84">
        <v>2017</v>
      </c>
      <c r="I3" s="84">
        <v>2018</v>
      </c>
      <c r="J3" s="84">
        <v>2019</v>
      </c>
      <c r="K3" s="84">
        <v>2020</v>
      </c>
      <c r="L3" s="84">
        <v>2021</v>
      </c>
      <c r="M3" s="84">
        <v>2022</v>
      </c>
      <c r="N3" s="84">
        <v>2023</v>
      </c>
      <c r="O3" s="84">
        <v>2024</v>
      </c>
      <c r="Q3" s="97">
        <v>2015</v>
      </c>
      <c r="R3" s="97">
        <v>2016</v>
      </c>
      <c r="S3" s="97">
        <v>2017</v>
      </c>
      <c r="T3" s="97">
        <v>2018</v>
      </c>
      <c r="U3" s="97">
        <v>2019</v>
      </c>
      <c r="V3" s="97">
        <v>2020</v>
      </c>
      <c r="W3" s="97">
        <v>2021</v>
      </c>
      <c r="X3" s="97">
        <v>2022</v>
      </c>
      <c r="Y3" s="97">
        <v>2023</v>
      </c>
      <c r="Z3" s="97">
        <v>2024</v>
      </c>
    </row>
    <row r="4" spans="1:27" ht="39" thickBot="1" x14ac:dyDescent="0.3">
      <c r="A4" s="671" t="s">
        <v>406</v>
      </c>
      <c r="B4" s="100" t="s">
        <v>407</v>
      </c>
      <c r="C4" s="95" t="s">
        <v>408</v>
      </c>
      <c r="D4" s="87">
        <v>1150</v>
      </c>
      <c r="E4" s="88">
        <v>40009</v>
      </c>
      <c r="F4" s="94">
        <v>2</v>
      </c>
      <c r="G4" s="94">
        <v>2</v>
      </c>
      <c r="H4" s="94">
        <v>3</v>
      </c>
      <c r="I4" s="94">
        <v>3.01</v>
      </c>
      <c r="J4" s="94">
        <v>3.78</v>
      </c>
      <c r="K4" s="94">
        <v>4</v>
      </c>
      <c r="L4" s="94">
        <v>4</v>
      </c>
      <c r="M4" s="94">
        <v>4</v>
      </c>
      <c r="N4" s="94">
        <v>4</v>
      </c>
      <c r="O4" s="94">
        <v>4</v>
      </c>
      <c r="Q4" s="99">
        <f>D4</f>
        <v>1150</v>
      </c>
      <c r="R4" s="99">
        <f>D4*G4</f>
        <v>2300</v>
      </c>
      <c r="S4" s="99">
        <f>D4*H4</f>
        <v>3450</v>
      </c>
      <c r="T4" s="99">
        <f>D4*I4</f>
        <v>3461.4999999999995</v>
      </c>
      <c r="U4" s="99">
        <f>D4*J4</f>
        <v>4347</v>
      </c>
      <c r="V4" s="99">
        <f>D4*K4</f>
        <v>4600</v>
      </c>
      <c r="W4" s="99">
        <f>D4*L4</f>
        <v>4600</v>
      </c>
      <c r="X4" s="99">
        <f>D4*M4</f>
        <v>4600</v>
      </c>
      <c r="Y4" s="99">
        <f>D4*N4</f>
        <v>4600</v>
      </c>
      <c r="Z4" s="99">
        <f>D4*O4</f>
        <v>4600</v>
      </c>
      <c r="AA4" s="64">
        <f>SUM(Q4:Z4)</f>
        <v>37708.5</v>
      </c>
    </row>
    <row r="5" spans="1:27" ht="15.75" customHeight="1" thickBot="1" x14ac:dyDescent="0.3">
      <c r="A5" s="672"/>
      <c r="B5" s="674" t="s">
        <v>409</v>
      </c>
      <c r="C5" s="95" t="s">
        <v>410</v>
      </c>
      <c r="D5" s="91">
        <v>27</v>
      </c>
      <c r="E5" s="91">
        <v>32</v>
      </c>
      <c r="F5" s="94">
        <v>0</v>
      </c>
      <c r="G5" s="96">
        <v>3.5999999999999997E-2</v>
      </c>
      <c r="H5" s="94">
        <v>0</v>
      </c>
      <c r="I5" s="96">
        <v>3.5999999999999997E-2</v>
      </c>
      <c r="J5" s="94">
        <v>0</v>
      </c>
      <c r="K5" s="96">
        <v>3.5999999999999997E-2</v>
      </c>
      <c r="L5" s="94">
        <v>0</v>
      </c>
      <c r="M5" s="96">
        <v>3.5999999999999997E-2</v>
      </c>
      <c r="N5" s="94">
        <v>0</v>
      </c>
      <c r="O5" s="96">
        <v>3.5999999999999997E-2</v>
      </c>
      <c r="Q5" s="99">
        <f t="shared" ref="Q5:Q15" si="0">D5</f>
        <v>27</v>
      </c>
      <c r="R5" s="99">
        <f t="shared" ref="R5:R15" si="1">D5*G5</f>
        <v>0.97199999999999998</v>
      </c>
      <c r="S5" s="99">
        <f t="shared" ref="S5:S15" si="2">D5*H5</f>
        <v>0</v>
      </c>
      <c r="T5" s="99">
        <f t="shared" ref="T5:T15" si="3">D5*I5</f>
        <v>0.97199999999999998</v>
      </c>
      <c r="U5" s="99">
        <f t="shared" ref="U5:U15" si="4">D5*J5</f>
        <v>0</v>
      </c>
      <c r="V5" s="99">
        <f t="shared" ref="V5:V15" si="5">D5*K5</f>
        <v>0.97199999999999998</v>
      </c>
      <c r="W5" s="99">
        <f t="shared" ref="W5:W15" si="6">D5*L5</f>
        <v>0</v>
      </c>
      <c r="X5" s="99">
        <f t="shared" ref="X5:X15" si="7">D5*M5</f>
        <v>0.97199999999999998</v>
      </c>
      <c r="Y5" s="99">
        <f t="shared" ref="Y5:Y15" si="8">D5*N5</f>
        <v>0</v>
      </c>
      <c r="Z5" s="99">
        <f t="shared" ref="Z5:Z15" si="9">D5*O5</f>
        <v>0.97199999999999998</v>
      </c>
      <c r="AA5" s="64">
        <f t="shared" ref="AA5:AA68" si="10">SUM(Q5:Z5)</f>
        <v>31.860000000000007</v>
      </c>
    </row>
    <row r="6" spans="1:27" ht="15.75" thickBot="1" x14ac:dyDescent="0.3">
      <c r="A6" s="672"/>
      <c r="B6" s="675"/>
      <c r="C6" s="95" t="s">
        <v>411</v>
      </c>
      <c r="D6" s="92">
        <v>8</v>
      </c>
      <c r="E6" s="92">
        <v>12</v>
      </c>
      <c r="F6" s="94">
        <v>0</v>
      </c>
      <c r="G6" s="94">
        <v>0.12</v>
      </c>
      <c r="H6" s="94">
        <v>0</v>
      </c>
      <c r="I6" s="94">
        <v>0.12</v>
      </c>
      <c r="J6" s="94">
        <v>0</v>
      </c>
      <c r="K6" s="94">
        <v>0.12</v>
      </c>
      <c r="L6" s="94">
        <v>0</v>
      </c>
      <c r="M6" s="94">
        <v>0.09</v>
      </c>
      <c r="N6" s="94">
        <v>0</v>
      </c>
      <c r="O6" s="94">
        <v>0.09</v>
      </c>
      <c r="Q6" s="99">
        <f t="shared" si="0"/>
        <v>8</v>
      </c>
      <c r="R6" s="99">
        <f t="shared" si="1"/>
        <v>0.96</v>
      </c>
      <c r="S6" s="99">
        <f t="shared" si="2"/>
        <v>0</v>
      </c>
      <c r="T6" s="99">
        <f t="shared" si="3"/>
        <v>0.96</v>
      </c>
      <c r="U6" s="99">
        <f t="shared" si="4"/>
        <v>0</v>
      </c>
      <c r="V6" s="99">
        <f t="shared" si="5"/>
        <v>0.96</v>
      </c>
      <c r="W6" s="99">
        <f t="shared" si="6"/>
        <v>0</v>
      </c>
      <c r="X6" s="99">
        <f t="shared" si="7"/>
        <v>0.72</v>
      </c>
      <c r="Y6" s="99">
        <f t="shared" si="8"/>
        <v>0</v>
      </c>
      <c r="Z6" s="99">
        <f t="shared" si="9"/>
        <v>0.72</v>
      </c>
      <c r="AA6" s="64">
        <f t="shared" si="10"/>
        <v>12.320000000000004</v>
      </c>
    </row>
    <row r="7" spans="1:27" ht="15.75" thickBot="1" x14ac:dyDescent="0.3">
      <c r="A7" s="672"/>
      <c r="B7" s="676"/>
      <c r="C7" s="95" t="s">
        <v>412</v>
      </c>
      <c r="D7" s="92">
        <v>2</v>
      </c>
      <c r="E7" s="92">
        <v>6</v>
      </c>
      <c r="F7" s="94">
        <v>0</v>
      </c>
      <c r="G7" s="94">
        <v>0</v>
      </c>
      <c r="H7" s="94">
        <v>1</v>
      </c>
      <c r="I7" s="94">
        <v>0</v>
      </c>
      <c r="J7" s="94">
        <v>0.3</v>
      </c>
      <c r="K7" s="94">
        <v>0</v>
      </c>
      <c r="L7" s="94">
        <v>0</v>
      </c>
      <c r="M7" s="94">
        <v>0</v>
      </c>
      <c r="N7" s="94">
        <v>0</v>
      </c>
      <c r="O7" s="94">
        <v>0.7</v>
      </c>
      <c r="Q7" s="99">
        <f t="shared" si="0"/>
        <v>2</v>
      </c>
      <c r="R7" s="99">
        <f t="shared" si="1"/>
        <v>0</v>
      </c>
      <c r="S7" s="99">
        <f t="shared" si="2"/>
        <v>2</v>
      </c>
      <c r="T7" s="99">
        <f t="shared" si="3"/>
        <v>0</v>
      </c>
      <c r="U7" s="99">
        <f t="shared" si="4"/>
        <v>0.6</v>
      </c>
      <c r="V7" s="99">
        <f t="shared" si="5"/>
        <v>0</v>
      </c>
      <c r="W7" s="99">
        <f t="shared" si="6"/>
        <v>0</v>
      </c>
      <c r="X7" s="99">
        <f t="shared" si="7"/>
        <v>0</v>
      </c>
      <c r="Y7" s="99">
        <f t="shared" si="8"/>
        <v>0</v>
      </c>
      <c r="Z7" s="99">
        <f t="shared" si="9"/>
        <v>1.4</v>
      </c>
      <c r="AA7" s="64">
        <f t="shared" si="10"/>
        <v>6</v>
      </c>
    </row>
    <row r="8" spans="1:27" ht="15.75" customHeight="1" thickBot="1" x14ac:dyDescent="0.3">
      <c r="A8" s="672"/>
      <c r="B8" s="674" t="s">
        <v>413</v>
      </c>
      <c r="C8" s="95" t="s">
        <v>412</v>
      </c>
      <c r="D8" s="92">
        <v>37</v>
      </c>
      <c r="E8" s="92">
        <v>49</v>
      </c>
      <c r="F8" s="94">
        <v>0.05</v>
      </c>
      <c r="G8" s="94">
        <v>0</v>
      </c>
      <c r="H8" s="94">
        <v>0.05</v>
      </c>
      <c r="I8" s="94">
        <v>0</v>
      </c>
      <c r="J8" s="94">
        <v>0.05</v>
      </c>
      <c r="K8" s="94">
        <v>0</v>
      </c>
      <c r="L8" s="94">
        <v>0.05</v>
      </c>
      <c r="M8" s="94">
        <v>0.05</v>
      </c>
      <c r="N8" s="94">
        <v>0.04</v>
      </c>
      <c r="O8" s="94">
        <v>0.04</v>
      </c>
      <c r="Q8" s="99">
        <f t="shared" si="0"/>
        <v>37</v>
      </c>
      <c r="R8" s="99">
        <f t="shared" si="1"/>
        <v>0</v>
      </c>
      <c r="S8" s="99">
        <f t="shared" si="2"/>
        <v>1.85</v>
      </c>
      <c r="T8" s="99">
        <f t="shared" si="3"/>
        <v>0</v>
      </c>
      <c r="U8" s="99">
        <f t="shared" si="4"/>
        <v>1.85</v>
      </c>
      <c r="V8" s="99">
        <f t="shared" si="5"/>
        <v>0</v>
      </c>
      <c r="W8" s="99">
        <f t="shared" si="6"/>
        <v>1.85</v>
      </c>
      <c r="X8" s="99">
        <f t="shared" si="7"/>
        <v>1.85</v>
      </c>
      <c r="Y8" s="99">
        <f t="shared" si="8"/>
        <v>1.48</v>
      </c>
      <c r="Z8" s="99">
        <f t="shared" si="9"/>
        <v>1.48</v>
      </c>
      <c r="AA8" s="64">
        <f t="shared" si="10"/>
        <v>47.36</v>
      </c>
    </row>
    <row r="9" spans="1:27" ht="15.75" thickBot="1" x14ac:dyDescent="0.3">
      <c r="A9" s="672"/>
      <c r="B9" s="675"/>
      <c r="C9" s="95" t="s">
        <v>414</v>
      </c>
      <c r="D9" s="92">
        <v>189</v>
      </c>
      <c r="E9" s="92">
        <v>198</v>
      </c>
      <c r="F9" s="94">
        <v>0</v>
      </c>
      <c r="G9" s="94">
        <v>0.01</v>
      </c>
      <c r="H9" s="94">
        <v>0</v>
      </c>
      <c r="I9" s="94">
        <v>0.01</v>
      </c>
      <c r="J9" s="94">
        <v>0</v>
      </c>
      <c r="K9" s="94">
        <v>0.01</v>
      </c>
      <c r="L9" s="94">
        <v>0</v>
      </c>
      <c r="M9" s="94">
        <v>0.01</v>
      </c>
      <c r="N9" s="94">
        <v>0</v>
      </c>
      <c r="O9" s="94">
        <v>0.01</v>
      </c>
      <c r="Q9" s="99">
        <f t="shared" si="0"/>
        <v>189</v>
      </c>
      <c r="R9" s="99">
        <f t="shared" si="1"/>
        <v>1.8900000000000001</v>
      </c>
      <c r="S9" s="99">
        <f t="shared" si="2"/>
        <v>0</v>
      </c>
      <c r="T9" s="99">
        <f t="shared" si="3"/>
        <v>1.8900000000000001</v>
      </c>
      <c r="U9" s="99">
        <f t="shared" si="4"/>
        <v>0</v>
      </c>
      <c r="V9" s="99">
        <f t="shared" si="5"/>
        <v>1.8900000000000001</v>
      </c>
      <c r="W9" s="99">
        <f t="shared" si="6"/>
        <v>0</v>
      </c>
      <c r="X9" s="99">
        <f t="shared" si="7"/>
        <v>1.8900000000000001</v>
      </c>
      <c r="Y9" s="99">
        <f t="shared" si="8"/>
        <v>0</v>
      </c>
      <c r="Z9" s="99">
        <f t="shared" si="9"/>
        <v>1.8900000000000001</v>
      </c>
      <c r="AA9" s="64">
        <f t="shared" si="10"/>
        <v>198.44999999999993</v>
      </c>
    </row>
    <row r="10" spans="1:27" ht="26.25" thickBot="1" x14ac:dyDescent="0.3">
      <c r="A10" s="672"/>
      <c r="B10" s="676"/>
      <c r="C10" s="95" t="s">
        <v>415</v>
      </c>
      <c r="D10" s="92">
        <v>100</v>
      </c>
      <c r="E10" s="92">
        <v>100</v>
      </c>
      <c r="F10" s="94">
        <v>0</v>
      </c>
      <c r="G10" s="94">
        <v>0</v>
      </c>
      <c r="H10" s="94">
        <v>0</v>
      </c>
      <c r="I10" s="94">
        <v>0</v>
      </c>
      <c r="J10" s="94">
        <v>0</v>
      </c>
      <c r="K10" s="94">
        <v>0</v>
      </c>
      <c r="L10" s="94">
        <v>0</v>
      </c>
      <c r="M10" s="94">
        <v>0</v>
      </c>
      <c r="N10" s="94">
        <v>0</v>
      </c>
      <c r="O10" s="94">
        <v>0</v>
      </c>
      <c r="Q10" s="99">
        <f t="shared" si="0"/>
        <v>100</v>
      </c>
      <c r="R10" s="99">
        <f t="shared" si="1"/>
        <v>0</v>
      </c>
      <c r="S10" s="99">
        <f t="shared" si="2"/>
        <v>0</v>
      </c>
      <c r="T10" s="99">
        <f t="shared" si="3"/>
        <v>0</v>
      </c>
      <c r="U10" s="99">
        <f t="shared" si="4"/>
        <v>0</v>
      </c>
      <c r="V10" s="99">
        <f t="shared" si="5"/>
        <v>0</v>
      </c>
      <c r="W10" s="99">
        <f t="shared" si="6"/>
        <v>0</v>
      </c>
      <c r="X10" s="99">
        <f t="shared" si="7"/>
        <v>0</v>
      </c>
      <c r="Y10" s="99">
        <f t="shared" si="8"/>
        <v>0</v>
      </c>
      <c r="Z10" s="99">
        <f t="shared" si="9"/>
        <v>0</v>
      </c>
      <c r="AA10" s="64">
        <f t="shared" si="10"/>
        <v>100</v>
      </c>
    </row>
    <row r="11" spans="1:27" ht="15.75" customHeight="1" thickBot="1" x14ac:dyDescent="0.3">
      <c r="A11" s="672"/>
      <c r="B11" s="674" t="s">
        <v>416</v>
      </c>
      <c r="C11" s="95" t="s">
        <v>417</v>
      </c>
      <c r="D11" s="92">
        <v>27</v>
      </c>
      <c r="E11" s="92">
        <v>31</v>
      </c>
      <c r="F11" s="94">
        <v>0</v>
      </c>
      <c r="G11" s="94">
        <v>0</v>
      </c>
      <c r="H11" s="96">
        <v>3.6999999999999998E-2</v>
      </c>
      <c r="I11" s="94">
        <v>0</v>
      </c>
      <c r="J11" s="96">
        <v>3.5000000000000003E-2</v>
      </c>
      <c r="K11" s="94">
        <v>0</v>
      </c>
      <c r="L11" s="96">
        <v>3.4000000000000002E-2</v>
      </c>
      <c r="M11" s="94">
        <v>0</v>
      </c>
      <c r="N11" s="94">
        <v>0</v>
      </c>
      <c r="O11" s="96">
        <v>3.3000000000000002E-2</v>
      </c>
      <c r="Q11" s="99">
        <f t="shared" si="0"/>
        <v>27</v>
      </c>
      <c r="R11" s="99">
        <f t="shared" si="1"/>
        <v>0</v>
      </c>
      <c r="S11" s="99">
        <f t="shared" si="2"/>
        <v>0.999</v>
      </c>
      <c r="T11" s="99">
        <f t="shared" si="3"/>
        <v>0</v>
      </c>
      <c r="U11" s="99">
        <f t="shared" si="4"/>
        <v>0.94500000000000006</v>
      </c>
      <c r="V11" s="99">
        <f t="shared" si="5"/>
        <v>0</v>
      </c>
      <c r="W11" s="99">
        <f t="shared" si="6"/>
        <v>0.91800000000000004</v>
      </c>
      <c r="X11" s="99">
        <f t="shared" si="7"/>
        <v>0</v>
      </c>
      <c r="Y11" s="99">
        <f t="shared" si="8"/>
        <v>0</v>
      </c>
      <c r="Z11" s="99">
        <f t="shared" si="9"/>
        <v>0.89100000000000001</v>
      </c>
      <c r="AA11" s="64">
        <f t="shared" si="10"/>
        <v>30.753</v>
      </c>
    </row>
    <row r="12" spans="1:27" ht="15.75" thickBot="1" x14ac:dyDescent="0.3">
      <c r="A12" s="672"/>
      <c r="B12" s="676"/>
      <c r="C12" s="95" t="s">
        <v>418</v>
      </c>
      <c r="D12" s="92">
        <v>0</v>
      </c>
      <c r="E12" s="92">
        <v>26</v>
      </c>
      <c r="F12" s="94">
        <v>0.84</v>
      </c>
      <c r="G12" s="94">
        <v>0</v>
      </c>
      <c r="H12" s="96">
        <v>4.4999999999999998E-2</v>
      </c>
      <c r="I12" s="94">
        <v>0</v>
      </c>
      <c r="J12" s="96">
        <v>4.4999999999999998E-2</v>
      </c>
      <c r="K12" s="94">
        <v>0</v>
      </c>
      <c r="L12" s="94">
        <v>0.04</v>
      </c>
      <c r="M12" s="94">
        <v>0</v>
      </c>
      <c r="N12" s="94">
        <v>0.03</v>
      </c>
      <c r="O12" s="94">
        <v>0</v>
      </c>
      <c r="Q12" s="99">
        <f t="shared" si="0"/>
        <v>0</v>
      </c>
      <c r="R12" s="99">
        <f t="shared" si="1"/>
        <v>0</v>
      </c>
      <c r="S12" s="99">
        <f t="shared" si="2"/>
        <v>0</v>
      </c>
      <c r="T12" s="99">
        <f t="shared" si="3"/>
        <v>0</v>
      </c>
      <c r="U12" s="99">
        <f t="shared" si="4"/>
        <v>0</v>
      </c>
      <c r="V12" s="99">
        <f t="shared" si="5"/>
        <v>0</v>
      </c>
      <c r="W12" s="99">
        <f t="shared" si="6"/>
        <v>0</v>
      </c>
      <c r="X12" s="99">
        <f t="shared" si="7"/>
        <v>0</v>
      </c>
      <c r="Y12" s="99">
        <f t="shared" si="8"/>
        <v>0</v>
      </c>
      <c r="Z12" s="99">
        <f t="shared" si="9"/>
        <v>0</v>
      </c>
      <c r="AA12" s="64">
        <f t="shared" si="10"/>
        <v>0</v>
      </c>
    </row>
    <row r="13" spans="1:27" ht="26.25" thickBot="1" x14ac:dyDescent="0.3">
      <c r="A13" s="672"/>
      <c r="B13" s="100" t="s">
        <v>419</v>
      </c>
      <c r="C13" s="95" t="s">
        <v>420</v>
      </c>
      <c r="D13" s="92">
        <v>0</v>
      </c>
      <c r="E13" s="93">
        <v>1</v>
      </c>
      <c r="F13" s="94">
        <v>0.3</v>
      </c>
      <c r="G13" s="94">
        <v>0.3</v>
      </c>
      <c r="H13" s="94">
        <v>0.4</v>
      </c>
      <c r="I13" s="94">
        <v>0</v>
      </c>
      <c r="J13" s="94">
        <v>0</v>
      </c>
      <c r="K13" s="94">
        <v>0</v>
      </c>
      <c r="L13" s="94">
        <v>0</v>
      </c>
      <c r="M13" s="94">
        <v>0</v>
      </c>
      <c r="N13" s="94">
        <v>0</v>
      </c>
      <c r="O13" s="94">
        <v>0</v>
      </c>
      <c r="Q13" s="99">
        <f t="shared" si="0"/>
        <v>0</v>
      </c>
      <c r="R13" s="99">
        <f t="shared" si="1"/>
        <v>0</v>
      </c>
      <c r="S13" s="99">
        <f t="shared" si="2"/>
        <v>0</v>
      </c>
      <c r="T13" s="99">
        <f t="shared" si="3"/>
        <v>0</v>
      </c>
      <c r="U13" s="99">
        <f t="shared" si="4"/>
        <v>0</v>
      </c>
      <c r="V13" s="99">
        <f t="shared" si="5"/>
        <v>0</v>
      </c>
      <c r="W13" s="99">
        <f t="shared" si="6"/>
        <v>0</v>
      </c>
      <c r="X13" s="99">
        <f t="shared" si="7"/>
        <v>0</v>
      </c>
      <c r="Y13" s="99">
        <f t="shared" si="8"/>
        <v>0</v>
      </c>
      <c r="Z13" s="99">
        <f t="shared" si="9"/>
        <v>0</v>
      </c>
      <c r="AA13" s="64">
        <f t="shared" si="10"/>
        <v>0</v>
      </c>
    </row>
    <row r="14" spans="1:27" ht="26.25" thickBot="1" x14ac:dyDescent="0.3">
      <c r="A14" s="672"/>
      <c r="B14" s="100" t="s">
        <v>421</v>
      </c>
      <c r="C14" s="95" t="s">
        <v>422</v>
      </c>
      <c r="D14" s="92">
        <v>2</v>
      </c>
      <c r="E14" s="92">
        <v>40</v>
      </c>
      <c r="F14" s="94">
        <v>11.5</v>
      </c>
      <c r="G14" s="94">
        <v>0</v>
      </c>
      <c r="H14" s="94">
        <v>0</v>
      </c>
      <c r="I14" s="94">
        <v>0</v>
      </c>
      <c r="J14" s="94">
        <v>0.2</v>
      </c>
      <c r="K14" s="94">
        <v>0</v>
      </c>
      <c r="L14" s="94">
        <v>0</v>
      </c>
      <c r="M14" s="94">
        <v>1</v>
      </c>
      <c r="N14" s="94">
        <v>0</v>
      </c>
      <c r="O14" s="94">
        <v>6.5</v>
      </c>
      <c r="Q14" s="99">
        <f t="shared" si="0"/>
        <v>2</v>
      </c>
      <c r="R14" s="99">
        <f t="shared" si="1"/>
        <v>0</v>
      </c>
      <c r="S14" s="99">
        <f t="shared" si="2"/>
        <v>0</v>
      </c>
      <c r="T14" s="99">
        <f t="shared" si="3"/>
        <v>0</v>
      </c>
      <c r="U14" s="99">
        <f t="shared" si="4"/>
        <v>0.4</v>
      </c>
      <c r="V14" s="99">
        <f t="shared" si="5"/>
        <v>0</v>
      </c>
      <c r="W14" s="99">
        <f t="shared" si="6"/>
        <v>0</v>
      </c>
      <c r="X14" s="99">
        <f t="shared" si="7"/>
        <v>2</v>
      </c>
      <c r="Y14" s="99">
        <f t="shared" si="8"/>
        <v>0</v>
      </c>
      <c r="Z14" s="99">
        <f t="shared" si="9"/>
        <v>13</v>
      </c>
      <c r="AA14" s="64">
        <f t="shared" si="10"/>
        <v>17.399999999999999</v>
      </c>
    </row>
    <row r="15" spans="1:27" ht="39" thickBot="1" x14ac:dyDescent="0.3">
      <c r="A15" s="673"/>
      <c r="B15" s="100" t="s">
        <v>423</v>
      </c>
      <c r="C15" s="95" t="s">
        <v>424</v>
      </c>
      <c r="D15" s="92">
        <v>1</v>
      </c>
      <c r="E15" s="92">
        <v>70</v>
      </c>
      <c r="F15" s="94">
        <v>9</v>
      </c>
      <c r="G15" s="94">
        <v>8</v>
      </c>
      <c r="H15" s="94">
        <v>8</v>
      </c>
      <c r="I15" s="94">
        <v>7</v>
      </c>
      <c r="J15" s="94">
        <v>7</v>
      </c>
      <c r="K15" s="94">
        <v>6</v>
      </c>
      <c r="L15" s="94">
        <v>6</v>
      </c>
      <c r="M15" s="94">
        <v>6</v>
      </c>
      <c r="N15" s="94">
        <v>6</v>
      </c>
      <c r="O15" s="94">
        <v>6</v>
      </c>
      <c r="Q15" s="99">
        <f t="shared" si="0"/>
        <v>1</v>
      </c>
      <c r="R15" s="99">
        <f t="shared" si="1"/>
        <v>8</v>
      </c>
      <c r="S15" s="99">
        <f t="shared" si="2"/>
        <v>8</v>
      </c>
      <c r="T15" s="99">
        <f t="shared" si="3"/>
        <v>7</v>
      </c>
      <c r="U15" s="99">
        <f t="shared" si="4"/>
        <v>7</v>
      </c>
      <c r="V15" s="99">
        <f t="shared" si="5"/>
        <v>6</v>
      </c>
      <c r="W15" s="99">
        <f t="shared" si="6"/>
        <v>6</v>
      </c>
      <c r="X15" s="99">
        <f t="shared" si="7"/>
        <v>6</v>
      </c>
      <c r="Y15" s="99">
        <f t="shared" si="8"/>
        <v>6</v>
      </c>
      <c r="Z15" s="99">
        <f t="shared" si="9"/>
        <v>6</v>
      </c>
      <c r="AA15" s="64">
        <f t="shared" si="10"/>
        <v>61</v>
      </c>
    </row>
    <row r="16" spans="1:27" ht="15.75" thickBot="1" x14ac:dyDescent="0.3">
      <c r="AA16" s="64"/>
    </row>
    <row r="17" spans="1:27" ht="15.75" thickBot="1" x14ac:dyDescent="0.3">
      <c r="A17" s="666" t="s">
        <v>426</v>
      </c>
      <c r="B17" s="666" t="s">
        <v>401</v>
      </c>
      <c r="C17" s="666" t="s">
        <v>402</v>
      </c>
      <c r="D17" s="666" t="s">
        <v>403</v>
      </c>
      <c r="E17" s="666" t="s">
        <v>404</v>
      </c>
      <c r="F17" s="651" t="s">
        <v>405</v>
      </c>
      <c r="G17" s="652"/>
      <c r="H17" s="652"/>
      <c r="I17" s="652"/>
      <c r="J17" s="652"/>
      <c r="K17" s="652"/>
      <c r="L17" s="652"/>
      <c r="M17" s="652"/>
      <c r="N17" s="652"/>
      <c r="O17" s="653"/>
      <c r="P17" s="89"/>
      <c r="Q17" s="651" t="s">
        <v>405</v>
      </c>
      <c r="R17" s="652"/>
      <c r="S17" s="652"/>
      <c r="T17" s="652"/>
      <c r="U17" s="652"/>
      <c r="V17" s="652"/>
      <c r="W17" s="652"/>
      <c r="X17" s="652"/>
      <c r="Y17" s="652"/>
      <c r="Z17" s="653"/>
      <c r="AA17" s="64"/>
    </row>
    <row r="18" spans="1:27" ht="15.75" thickBot="1" x14ac:dyDescent="0.3">
      <c r="A18" s="667"/>
      <c r="B18" s="667"/>
      <c r="C18" s="667"/>
      <c r="D18" s="667"/>
      <c r="E18" s="667"/>
      <c r="F18" s="111">
        <v>2015</v>
      </c>
      <c r="G18" s="111">
        <v>2016</v>
      </c>
      <c r="H18" s="111">
        <v>2017</v>
      </c>
      <c r="I18" s="111">
        <v>2018</v>
      </c>
      <c r="J18" s="111">
        <v>2019</v>
      </c>
      <c r="K18" s="111">
        <v>2020</v>
      </c>
      <c r="L18" s="111">
        <v>2021</v>
      </c>
      <c r="M18" s="111">
        <v>2022</v>
      </c>
      <c r="N18" s="112">
        <v>2023</v>
      </c>
      <c r="O18" s="111">
        <v>2024</v>
      </c>
      <c r="P18" s="108"/>
      <c r="Q18" s="111">
        <v>2015</v>
      </c>
      <c r="R18" s="111">
        <v>2016</v>
      </c>
      <c r="S18" s="111">
        <v>2017</v>
      </c>
      <c r="T18" s="111">
        <v>2018</v>
      </c>
      <c r="U18" s="111">
        <v>2019</v>
      </c>
      <c r="V18" s="111">
        <v>2020</v>
      </c>
      <c r="W18" s="111">
        <v>2021</v>
      </c>
      <c r="X18" s="111">
        <v>2022</v>
      </c>
      <c r="Y18" s="112">
        <v>2023</v>
      </c>
      <c r="Z18" s="111">
        <v>2024</v>
      </c>
      <c r="AA18" s="64"/>
    </row>
    <row r="19" spans="1:27" ht="39" thickBot="1" x14ac:dyDescent="0.3">
      <c r="A19" s="654" t="s">
        <v>427</v>
      </c>
      <c r="B19" s="632" t="s">
        <v>428</v>
      </c>
      <c r="C19" s="86" t="s">
        <v>429</v>
      </c>
      <c r="D19" s="101">
        <v>6</v>
      </c>
      <c r="E19" s="101">
        <v>46</v>
      </c>
      <c r="F19" s="98">
        <v>0.5</v>
      </c>
      <c r="G19" s="98">
        <v>0.5</v>
      </c>
      <c r="H19" s="98">
        <v>0.6</v>
      </c>
      <c r="I19" s="98">
        <v>0.7</v>
      </c>
      <c r="J19" s="98">
        <v>0.7</v>
      </c>
      <c r="K19" s="98">
        <v>0.7</v>
      </c>
      <c r="L19" s="98">
        <v>0.8</v>
      </c>
      <c r="M19" s="98">
        <v>0.9</v>
      </c>
      <c r="N19" s="113">
        <v>0.5</v>
      </c>
      <c r="O19" s="98">
        <v>0.8</v>
      </c>
      <c r="P19" s="109"/>
      <c r="Q19" s="99">
        <f>D19</f>
        <v>6</v>
      </c>
      <c r="R19" s="99">
        <f>D19*G19</f>
        <v>3</v>
      </c>
      <c r="S19" s="99">
        <f>D19*H19</f>
        <v>3.5999999999999996</v>
      </c>
      <c r="T19" s="99">
        <f>D19*I19</f>
        <v>4.1999999999999993</v>
      </c>
      <c r="U19" s="99">
        <f>D19*J19</f>
        <v>4.1999999999999993</v>
      </c>
      <c r="V19" s="99">
        <f>D19*K19</f>
        <v>4.1999999999999993</v>
      </c>
      <c r="W19" s="99">
        <f>D19*L19</f>
        <v>4.8000000000000007</v>
      </c>
      <c r="X19" s="99">
        <f>D19*M19</f>
        <v>5.4</v>
      </c>
      <c r="Y19" s="99">
        <f>D19*N19</f>
        <v>3</v>
      </c>
      <c r="Z19" s="99">
        <f>D19*O19</f>
        <v>4.8000000000000007</v>
      </c>
      <c r="AA19" s="64">
        <f t="shared" si="10"/>
        <v>43.2</v>
      </c>
    </row>
    <row r="20" spans="1:27" ht="39" thickBot="1" x14ac:dyDescent="0.3">
      <c r="A20" s="655"/>
      <c r="B20" s="633"/>
      <c r="C20" s="86" t="s">
        <v>430</v>
      </c>
      <c r="D20" s="101">
        <v>3</v>
      </c>
      <c r="E20" s="101">
        <v>33</v>
      </c>
      <c r="F20" s="98">
        <v>1</v>
      </c>
      <c r="G20" s="98">
        <v>1.1000000000000001</v>
      </c>
      <c r="H20" s="98">
        <v>1.2</v>
      </c>
      <c r="I20" s="98">
        <v>1.3</v>
      </c>
      <c r="J20" s="98">
        <v>0.8</v>
      </c>
      <c r="K20" s="98">
        <v>0.9</v>
      </c>
      <c r="L20" s="98">
        <v>0.9</v>
      </c>
      <c r="M20" s="98">
        <v>0.9</v>
      </c>
      <c r="N20" s="113">
        <v>1</v>
      </c>
      <c r="O20" s="98">
        <v>1</v>
      </c>
      <c r="P20" s="109"/>
      <c r="Q20" s="99">
        <f t="shared" ref="Q20:Q42" si="11">D20</f>
        <v>3</v>
      </c>
      <c r="R20" s="99">
        <f t="shared" ref="R20:R42" si="12">D20*G20</f>
        <v>3.3000000000000003</v>
      </c>
      <c r="S20" s="99">
        <f t="shared" ref="S20:S42" si="13">D20*H20</f>
        <v>3.5999999999999996</v>
      </c>
      <c r="T20" s="99">
        <f t="shared" ref="T20:T42" si="14">D20*I20</f>
        <v>3.9000000000000004</v>
      </c>
      <c r="U20" s="99">
        <f t="shared" ref="U20:U42" si="15">D20*J20</f>
        <v>2.4000000000000004</v>
      </c>
      <c r="V20" s="99">
        <f t="shared" ref="V20:V42" si="16">D20*K20</f>
        <v>2.7</v>
      </c>
      <c r="W20" s="99">
        <f t="shared" ref="W20:W42" si="17">D20*L20</f>
        <v>2.7</v>
      </c>
      <c r="X20" s="99">
        <f t="shared" ref="X20:X42" si="18">D20*M20</f>
        <v>2.7</v>
      </c>
      <c r="Y20" s="99">
        <f t="shared" ref="Y20:Y42" si="19">D20*N20</f>
        <v>3</v>
      </c>
      <c r="Z20" s="99">
        <f t="shared" ref="Z20:Z42" si="20">D20*O20</f>
        <v>3</v>
      </c>
      <c r="AA20" s="64">
        <f t="shared" si="10"/>
        <v>30.3</v>
      </c>
    </row>
    <row r="21" spans="1:27" ht="64.5" thickBot="1" x14ac:dyDescent="0.3">
      <c r="A21" s="655"/>
      <c r="B21" s="634"/>
      <c r="C21" s="86" t="s">
        <v>431</v>
      </c>
      <c r="D21" s="101">
        <v>5</v>
      </c>
      <c r="E21" s="101">
        <v>55</v>
      </c>
      <c r="F21" s="98">
        <v>0.3</v>
      </c>
      <c r="G21" s="98">
        <v>0.5</v>
      </c>
      <c r="H21" s="98">
        <v>0.8</v>
      </c>
      <c r="I21" s="98">
        <v>1</v>
      </c>
      <c r="J21" s="98">
        <v>1</v>
      </c>
      <c r="K21" s="98">
        <v>1</v>
      </c>
      <c r="L21" s="98">
        <v>1.2</v>
      </c>
      <c r="M21" s="98">
        <v>1.3</v>
      </c>
      <c r="N21" s="113">
        <v>1.5</v>
      </c>
      <c r="O21" s="98">
        <v>1.4</v>
      </c>
      <c r="P21" s="109"/>
      <c r="Q21" s="99">
        <f t="shared" si="11"/>
        <v>5</v>
      </c>
      <c r="R21" s="99">
        <f t="shared" si="12"/>
        <v>2.5</v>
      </c>
      <c r="S21" s="99">
        <f t="shared" si="13"/>
        <v>4</v>
      </c>
      <c r="T21" s="99">
        <f t="shared" si="14"/>
        <v>5</v>
      </c>
      <c r="U21" s="99">
        <f t="shared" si="15"/>
        <v>5</v>
      </c>
      <c r="V21" s="99">
        <f t="shared" si="16"/>
        <v>5</v>
      </c>
      <c r="W21" s="99">
        <f t="shared" si="17"/>
        <v>6</v>
      </c>
      <c r="X21" s="99">
        <f t="shared" si="18"/>
        <v>6.5</v>
      </c>
      <c r="Y21" s="99">
        <f t="shared" si="19"/>
        <v>7.5</v>
      </c>
      <c r="Z21" s="99">
        <f t="shared" si="20"/>
        <v>7</v>
      </c>
      <c r="AA21" s="64">
        <f t="shared" si="10"/>
        <v>53.5</v>
      </c>
    </row>
    <row r="22" spans="1:27" ht="26.25" thickBot="1" x14ac:dyDescent="0.3">
      <c r="A22" s="655"/>
      <c r="B22" s="632" t="s">
        <v>432</v>
      </c>
      <c r="C22" s="86" t="s">
        <v>433</v>
      </c>
      <c r="D22" s="101">
        <v>2</v>
      </c>
      <c r="E22" s="102">
        <v>42</v>
      </c>
      <c r="F22" s="98">
        <v>0.8</v>
      </c>
      <c r="G22" s="98">
        <v>0.9</v>
      </c>
      <c r="H22" s="98">
        <v>1</v>
      </c>
      <c r="I22" s="98">
        <v>1.5</v>
      </c>
      <c r="J22" s="98">
        <v>2</v>
      </c>
      <c r="K22" s="98">
        <v>2.25</v>
      </c>
      <c r="L22" s="98">
        <v>2.5</v>
      </c>
      <c r="M22" s="98">
        <v>3</v>
      </c>
      <c r="N22" s="113">
        <v>3.5</v>
      </c>
      <c r="O22" s="98">
        <v>2.5</v>
      </c>
      <c r="P22" s="109"/>
      <c r="Q22" s="99">
        <f t="shared" si="11"/>
        <v>2</v>
      </c>
      <c r="R22" s="99">
        <f t="shared" si="12"/>
        <v>1.8</v>
      </c>
      <c r="S22" s="99">
        <f t="shared" si="13"/>
        <v>2</v>
      </c>
      <c r="T22" s="99">
        <f t="shared" si="14"/>
        <v>3</v>
      </c>
      <c r="U22" s="99">
        <f t="shared" si="15"/>
        <v>4</v>
      </c>
      <c r="V22" s="99">
        <f t="shared" si="16"/>
        <v>4.5</v>
      </c>
      <c r="W22" s="99">
        <f t="shared" si="17"/>
        <v>5</v>
      </c>
      <c r="X22" s="99">
        <f t="shared" si="18"/>
        <v>6</v>
      </c>
      <c r="Y22" s="99">
        <f t="shared" si="19"/>
        <v>7</v>
      </c>
      <c r="Z22" s="99">
        <f t="shared" si="20"/>
        <v>5</v>
      </c>
      <c r="AA22" s="64">
        <f t="shared" si="10"/>
        <v>40.299999999999997</v>
      </c>
    </row>
    <row r="23" spans="1:27" ht="39" thickBot="1" x14ac:dyDescent="0.3">
      <c r="A23" s="655"/>
      <c r="B23" s="633"/>
      <c r="C23" s="86" t="s">
        <v>434</v>
      </c>
      <c r="D23" s="101">
        <v>1</v>
      </c>
      <c r="E23" s="102">
        <v>31</v>
      </c>
      <c r="F23" s="98">
        <v>1</v>
      </c>
      <c r="G23" s="98">
        <v>1.2</v>
      </c>
      <c r="H23" s="98">
        <v>2</v>
      </c>
      <c r="I23" s="98">
        <v>2.5</v>
      </c>
      <c r="J23" s="98">
        <v>3</v>
      </c>
      <c r="K23" s="98">
        <v>3.32</v>
      </c>
      <c r="L23" s="98">
        <v>3.1</v>
      </c>
      <c r="M23" s="98">
        <v>5.2</v>
      </c>
      <c r="N23" s="113">
        <v>8</v>
      </c>
      <c r="O23" s="98">
        <v>1</v>
      </c>
      <c r="P23" s="109"/>
      <c r="Q23" s="99">
        <f t="shared" si="11"/>
        <v>1</v>
      </c>
      <c r="R23" s="99">
        <f t="shared" si="12"/>
        <v>1.2</v>
      </c>
      <c r="S23" s="99">
        <f t="shared" si="13"/>
        <v>2</v>
      </c>
      <c r="T23" s="99">
        <f t="shared" si="14"/>
        <v>2.5</v>
      </c>
      <c r="U23" s="99">
        <f t="shared" si="15"/>
        <v>3</v>
      </c>
      <c r="V23" s="99">
        <f t="shared" si="16"/>
        <v>3.32</v>
      </c>
      <c r="W23" s="99">
        <f t="shared" si="17"/>
        <v>3.1</v>
      </c>
      <c r="X23" s="99">
        <f t="shared" si="18"/>
        <v>5.2</v>
      </c>
      <c r="Y23" s="99">
        <f t="shared" si="19"/>
        <v>8</v>
      </c>
      <c r="Z23" s="99">
        <f t="shared" si="20"/>
        <v>1</v>
      </c>
      <c r="AA23" s="64">
        <f t="shared" si="10"/>
        <v>30.32</v>
      </c>
    </row>
    <row r="24" spans="1:27" ht="39" thickBot="1" x14ac:dyDescent="0.3">
      <c r="A24" s="655"/>
      <c r="B24" s="633"/>
      <c r="C24" s="86" t="s">
        <v>435</v>
      </c>
      <c r="D24" s="101">
        <v>60</v>
      </c>
      <c r="E24" s="102">
        <v>460</v>
      </c>
      <c r="F24" s="98">
        <v>0.56000000000000005</v>
      </c>
      <c r="G24" s="98">
        <v>2</v>
      </c>
      <c r="H24" s="98">
        <v>3</v>
      </c>
      <c r="I24" s="98">
        <v>1.1000000000000001</v>
      </c>
      <c r="J24" s="98">
        <v>0</v>
      </c>
      <c r="K24" s="98">
        <v>0</v>
      </c>
      <c r="L24" s="98">
        <v>0</v>
      </c>
      <c r="M24" s="98">
        <v>0</v>
      </c>
      <c r="N24" s="113">
        <v>0</v>
      </c>
      <c r="O24" s="98">
        <v>0</v>
      </c>
      <c r="P24" s="109"/>
      <c r="Q24" s="99">
        <f t="shared" si="11"/>
        <v>60</v>
      </c>
      <c r="R24" s="99">
        <f t="shared" si="12"/>
        <v>120</v>
      </c>
      <c r="S24" s="99">
        <f t="shared" si="13"/>
        <v>180</v>
      </c>
      <c r="T24" s="99">
        <f t="shared" si="14"/>
        <v>66</v>
      </c>
      <c r="U24" s="99">
        <f t="shared" si="15"/>
        <v>0</v>
      </c>
      <c r="V24" s="99">
        <f t="shared" si="16"/>
        <v>0</v>
      </c>
      <c r="W24" s="99">
        <f t="shared" si="17"/>
        <v>0</v>
      </c>
      <c r="X24" s="99">
        <f t="shared" si="18"/>
        <v>0</v>
      </c>
      <c r="Y24" s="99">
        <f t="shared" si="19"/>
        <v>0</v>
      </c>
      <c r="Z24" s="99">
        <f t="shared" si="20"/>
        <v>0</v>
      </c>
      <c r="AA24" s="64">
        <f t="shared" si="10"/>
        <v>426</v>
      </c>
    </row>
    <row r="25" spans="1:27" ht="39" thickBot="1" x14ac:dyDescent="0.3">
      <c r="A25" s="655"/>
      <c r="B25" s="633"/>
      <c r="C25" s="86" t="s">
        <v>436</v>
      </c>
      <c r="D25" s="101">
        <v>1</v>
      </c>
      <c r="E25" s="102">
        <v>51</v>
      </c>
      <c r="F25" s="98">
        <v>0.9</v>
      </c>
      <c r="G25" s="98">
        <v>2</v>
      </c>
      <c r="H25" s="98">
        <v>3</v>
      </c>
      <c r="I25" s="98">
        <v>4</v>
      </c>
      <c r="J25" s="98">
        <v>5</v>
      </c>
      <c r="K25" s="98">
        <v>7</v>
      </c>
      <c r="L25" s="98">
        <v>6</v>
      </c>
      <c r="M25" s="98">
        <v>6</v>
      </c>
      <c r="N25" s="113">
        <v>7</v>
      </c>
      <c r="O25" s="98">
        <v>9</v>
      </c>
      <c r="P25" s="109"/>
      <c r="Q25" s="99">
        <f t="shared" si="11"/>
        <v>1</v>
      </c>
      <c r="R25" s="99">
        <f t="shared" si="12"/>
        <v>2</v>
      </c>
      <c r="S25" s="99">
        <f t="shared" si="13"/>
        <v>3</v>
      </c>
      <c r="T25" s="99">
        <f t="shared" si="14"/>
        <v>4</v>
      </c>
      <c r="U25" s="99">
        <f t="shared" si="15"/>
        <v>5</v>
      </c>
      <c r="V25" s="99">
        <f t="shared" si="16"/>
        <v>7</v>
      </c>
      <c r="W25" s="99">
        <f t="shared" si="17"/>
        <v>6</v>
      </c>
      <c r="X25" s="99">
        <f t="shared" si="18"/>
        <v>6</v>
      </c>
      <c r="Y25" s="99">
        <f t="shared" si="19"/>
        <v>7</v>
      </c>
      <c r="Z25" s="99">
        <f t="shared" si="20"/>
        <v>9</v>
      </c>
      <c r="AA25" s="64">
        <f t="shared" si="10"/>
        <v>50</v>
      </c>
    </row>
    <row r="26" spans="1:27" ht="15.75" thickBot="1" x14ac:dyDescent="0.3">
      <c r="A26" s="655"/>
      <c r="B26" s="633"/>
      <c r="C26" s="86" t="s">
        <v>437</v>
      </c>
      <c r="D26" s="101">
        <v>3</v>
      </c>
      <c r="E26" s="102">
        <v>43</v>
      </c>
      <c r="F26" s="98">
        <v>0.4</v>
      </c>
      <c r="G26" s="98">
        <v>0.7</v>
      </c>
      <c r="H26" s="98">
        <v>0.95</v>
      </c>
      <c r="I26" s="98">
        <v>0.9</v>
      </c>
      <c r="J26" s="98">
        <v>0.95</v>
      </c>
      <c r="K26" s="98">
        <v>1</v>
      </c>
      <c r="L26" s="98">
        <v>1.2</v>
      </c>
      <c r="M26" s="98">
        <v>1.9</v>
      </c>
      <c r="N26" s="113">
        <v>2.2000000000000002</v>
      </c>
      <c r="O26" s="98">
        <v>3</v>
      </c>
      <c r="P26" s="109"/>
      <c r="Q26" s="99">
        <f t="shared" si="11"/>
        <v>3</v>
      </c>
      <c r="R26" s="99">
        <f t="shared" si="12"/>
        <v>2.0999999999999996</v>
      </c>
      <c r="S26" s="99">
        <f t="shared" si="13"/>
        <v>2.8499999999999996</v>
      </c>
      <c r="T26" s="99">
        <f t="shared" si="14"/>
        <v>2.7</v>
      </c>
      <c r="U26" s="99">
        <f t="shared" si="15"/>
        <v>2.8499999999999996</v>
      </c>
      <c r="V26" s="99">
        <f t="shared" si="16"/>
        <v>3</v>
      </c>
      <c r="W26" s="99">
        <f t="shared" si="17"/>
        <v>3.5999999999999996</v>
      </c>
      <c r="X26" s="99">
        <f t="shared" si="18"/>
        <v>5.6999999999999993</v>
      </c>
      <c r="Y26" s="99">
        <f t="shared" si="19"/>
        <v>6.6000000000000005</v>
      </c>
      <c r="Z26" s="99">
        <f t="shared" si="20"/>
        <v>9</v>
      </c>
      <c r="AA26" s="64">
        <f t="shared" si="10"/>
        <v>41.4</v>
      </c>
    </row>
    <row r="27" spans="1:27" ht="39" thickBot="1" x14ac:dyDescent="0.3">
      <c r="A27" s="655"/>
      <c r="B27" s="634"/>
      <c r="C27" s="86" t="s">
        <v>438</v>
      </c>
      <c r="D27" s="101">
        <v>20</v>
      </c>
      <c r="E27" s="102">
        <v>220</v>
      </c>
      <c r="F27" s="98">
        <v>1</v>
      </c>
      <c r="G27" s="98">
        <v>0.9</v>
      </c>
      <c r="H27" s="98">
        <v>0.8</v>
      </c>
      <c r="I27" s="98">
        <v>0.6</v>
      </c>
      <c r="J27" s="98">
        <v>0.7</v>
      </c>
      <c r="K27" s="98">
        <v>0.9</v>
      </c>
      <c r="L27" s="98">
        <v>1</v>
      </c>
      <c r="M27" s="98">
        <v>1.4</v>
      </c>
      <c r="N27" s="113">
        <v>1.5</v>
      </c>
      <c r="O27" s="98">
        <v>1.2</v>
      </c>
      <c r="P27" s="109"/>
      <c r="Q27" s="99">
        <f t="shared" si="11"/>
        <v>20</v>
      </c>
      <c r="R27" s="99">
        <f t="shared" si="12"/>
        <v>18</v>
      </c>
      <c r="S27" s="99">
        <f t="shared" si="13"/>
        <v>16</v>
      </c>
      <c r="T27" s="99">
        <f t="shared" si="14"/>
        <v>12</v>
      </c>
      <c r="U27" s="99">
        <f t="shared" si="15"/>
        <v>14</v>
      </c>
      <c r="V27" s="99">
        <f t="shared" si="16"/>
        <v>18</v>
      </c>
      <c r="W27" s="99">
        <f t="shared" si="17"/>
        <v>20</v>
      </c>
      <c r="X27" s="99">
        <f t="shared" si="18"/>
        <v>28</v>
      </c>
      <c r="Y27" s="99">
        <f t="shared" si="19"/>
        <v>30</v>
      </c>
      <c r="Z27" s="99">
        <f t="shared" si="20"/>
        <v>24</v>
      </c>
      <c r="AA27" s="64">
        <f t="shared" si="10"/>
        <v>200</v>
      </c>
    </row>
    <row r="28" spans="1:27" ht="26.25" thickBot="1" x14ac:dyDescent="0.3">
      <c r="A28" s="655"/>
      <c r="B28" s="632" t="s">
        <v>439</v>
      </c>
      <c r="C28" s="86" t="s">
        <v>440</v>
      </c>
      <c r="D28" s="102">
        <v>80</v>
      </c>
      <c r="E28" s="102">
        <v>2540</v>
      </c>
      <c r="F28" s="98">
        <v>0.85</v>
      </c>
      <c r="G28" s="98">
        <v>2</v>
      </c>
      <c r="H28" s="98">
        <v>3.1</v>
      </c>
      <c r="I28" s="98">
        <v>3.8</v>
      </c>
      <c r="J28" s="98">
        <v>4.5</v>
      </c>
      <c r="K28" s="98">
        <v>4</v>
      </c>
      <c r="L28" s="98">
        <v>4.5</v>
      </c>
      <c r="M28" s="98">
        <v>3</v>
      </c>
      <c r="N28" s="113">
        <v>3</v>
      </c>
      <c r="O28" s="98">
        <v>2</v>
      </c>
      <c r="P28" s="109"/>
      <c r="Q28" s="99">
        <f t="shared" si="11"/>
        <v>80</v>
      </c>
      <c r="R28" s="99">
        <f t="shared" si="12"/>
        <v>160</v>
      </c>
      <c r="S28" s="99">
        <f t="shared" si="13"/>
        <v>248</v>
      </c>
      <c r="T28" s="99">
        <f t="shared" si="14"/>
        <v>304</v>
      </c>
      <c r="U28" s="99">
        <f t="shared" si="15"/>
        <v>360</v>
      </c>
      <c r="V28" s="99">
        <f t="shared" si="16"/>
        <v>320</v>
      </c>
      <c r="W28" s="99">
        <f t="shared" si="17"/>
        <v>360</v>
      </c>
      <c r="X28" s="99">
        <f t="shared" si="18"/>
        <v>240</v>
      </c>
      <c r="Y28" s="99">
        <f t="shared" si="19"/>
        <v>240</v>
      </c>
      <c r="Z28" s="99">
        <f t="shared" si="20"/>
        <v>160</v>
      </c>
      <c r="AA28" s="64">
        <f t="shared" si="10"/>
        <v>2472</v>
      </c>
    </row>
    <row r="29" spans="1:27" ht="39" thickBot="1" x14ac:dyDescent="0.3">
      <c r="A29" s="655"/>
      <c r="B29" s="633"/>
      <c r="C29" s="86" t="s">
        <v>441</v>
      </c>
      <c r="D29" s="102">
        <v>30</v>
      </c>
      <c r="E29" s="102">
        <v>330</v>
      </c>
      <c r="F29" s="98">
        <v>0.4</v>
      </c>
      <c r="G29" s="98">
        <v>0.5</v>
      </c>
      <c r="H29" s="98">
        <v>1</v>
      </c>
      <c r="I29" s="98">
        <v>1.5</v>
      </c>
      <c r="J29" s="98">
        <v>1.8</v>
      </c>
      <c r="K29" s="98">
        <v>1.6</v>
      </c>
      <c r="L29" s="98">
        <v>1.5</v>
      </c>
      <c r="M29" s="98">
        <v>1.4</v>
      </c>
      <c r="N29" s="113">
        <v>0.2</v>
      </c>
      <c r="O29" s="98">
        <v>0.1</v>
      </c>
      <c r="P29" s="109"/>
      <c r="Q29" s="99">
        <f t="shared" si="11"/>
        <v>30</v>
      </c>
      <c r="R29" s="99">
        <f t="shared" si="12"/>
        <v>15</v>
      </c>
      <c r="S29" s="99">
        <f t="shared" si="13"/>
        <v>30</v>
      </c>
      <c r="T29" s="99">
        <f t="shared" si="14"/>
        <v>45</v>
      </c>
      <c r="U29" s="99">
        <f t="shared" si="15"/>
        <v>54</v>
      </c>
      <c r="V29" s="99">
        <f t="shared" si="16"/>
        <v>48</v>
      </c>
      <c r="W29" s="99">
        <f t="shared" si="17"/>
        <v>45</v>
      </c>
      <c r="X29" s="99">
        <f t="shared" si="18"/>
        <v>42</v>
      </c>
      <c r="Y29" s="99">
        <f t="shared" si="19"/>
        <v>6</v>
      </c>
      <c r="Z29" s="99">
        <f t="shared" si="20"/>
        <v>3</v>
      </c>
      <c r="AA29" s="64">
        <f t="shared" si="10"/>
        <v>318</v>
      </c>
    </row>
    <row r="30" spans="1:27" ht="39" thickBot="1" x14ac:dyDescent="0.3">
      <c r="A30" s="655"/>
      <c r="B30" s="634"/>
      <c r="C30" s="86" t="s">
        <v>442</v>
      </c>
      <c r="D30" s="102">
        <v>4</v>
      </c>
      <c r="E30" s="102">
        <v>124</v>
      </c>
      <c r="F30" s="98">
        <v>0.5</v>
      </c>
      <c r="G30" s="98">
        <v>1</v>
      </c>
      <c r="H30" s="98">
        <v>2</v>
      </c>
      <c r="I30" s="98">
        <v>3</v>
      </c>
      <c r="J30" s="98">
        <v>4</v>
      </c>
      <c r="K30" s="98">
        <v>3</v>
      </c>
      <c r="L30" s="98">
        <v>3.5</v>
      </c>
      <c r="M30" s="98">
        <v>4</v>
      </c>
      <c r="N30" s="113">
        <v>4.5</v>
      </c>
      <c r="O30" s="98">
        <v>4.5999999999999996</v>
      </c>
      <c r="P30" s="109"/>
      <c r="Q30" s="99">
        <f t="shared" si="11"/>
        <v>4</v>
      </c>
      <c r="R30" s="99">
        <f t="shared" si="12"/>
        <v>4</v>
      </c>
      <c r="S30" s="99">
        <f t="shared" si="13"/>
        <v>8</v>
      </c>
      <c r="T30" s="99">
        <f t="shared" si="14"/>
        <v>12</v>
      </c>
      <c r="U30" s="99">
        <f t="shared" si="15"/>
        <v>16</v>
      </c>
      <c r="V30" s="99">
        <f t="shared" si="16"/>
        <v>12</v>
      </c>
      <c r="W30" s="99">
        <f t="shared" si="17"/>
        <v>14</v>
      </c>
      <c r="X30" s="99">
        <f t="shared" si="18"/>
        <v>16</v>
      </c>
      <c r="Y30" s="99">
        <f t="shared" si="19"/>
        <v>18</v>
      </c>
      <c r="Z30" s="99">
        <f t="shared" si="20"/>
        <v>18.399999999999999</v>
      </c>
      <c r="AA30" s="64">
        <f t="shared" si="10"/>
        <v>122.4</v>
      </c>
    </row>
    <row r="31" spans="1:27" ht="26.25" thickBot="1" x14ac:dyDescent="0.3">
      <c r="A31" s="655"/>
      <c r="B31" s="632" t="s">
        <v>443</v>
      </c>
      <c r="C31" s="86" t="s">
        <v>444</v>
      </c>
      <c r="D31" s="102">
        <v>49</v>
      </c>
      <c r="E31" s="102">
        <v>450</v>
      </c>
      <c r="F31" s="98">
        <v>0.5</v>
      </c>
      <c r="G31" s="98">
        <v>1</v>
      </c>
      <c r="H31" s="98">
        <v>0.9</v>
      </c>
      <c r="I31" s="98">
        <v>0.8</v>
      </c>
      <c r="J31" s="98">
        <v>1.2</v>
      </c>
      <c r="K31" s="98">
        <v>1</v>
      </c>
      <c r="L31" s="98">
        <v>0.69</v>
      </c>
      <c r="M31" s="98">
        <v>0.7</v>
      </c>
      <c r="N31" s="113">
        <v>0.8</v>
      </c>
      <c r="O31" s="98">
        <v>0.6</v>
      </c>
      <c r="P31" s="109"/>
      <c r="Q31" s="99">
        <f t="shared" si="11"/>
        <v>49</v>
      </c>
      <c r="R31" s="99">
        <f t="shared" si="12"/>
        <v>49</v>
      </c>
      <c r="S31" s="99">
        <f t="shared" si="13"/>
        <v>44.1</v>
      </c>
      <c r="T31" s="99">
        <f t="shared" si="14"/>
        <v>39.200000000000003</v>
      </c>
      <c r="U31" s="99">
        <f t="shared" si="15"/>
        <v>58.8</v>
      </c>
      <c r="V31" s="99">
        <f t="shared" si="16"/>
        <v>49</v>
      </c>
      <c r="W31" s="99">
        <f t="shared" si="17"/>
        <v>33.809999999999995</v>
      </c>
      <c r="X31" s="99">
        <f t="shared" si="18"/>
        <v>34.299999999999997</v>
      </c>
      <c r="Y31" s="99">
        <f t="shared" si="19"/>
        <v>39.200000000000003</v>
      </c>
      <c r="Z31" s="99">
        <f t="shared" si="20"/>
        <v>29.4</v>
      </c>
      <c r="AA31" s="64">
        <f t="shared" si="10"/>
        <v>425.81</v>
      </c>
    </row>
    <row r="32" spans="1:27" ht="26.25" thickBot="1" x14ac:dyDescent="0.3">
      <c r="A32" s="655"/>
      <c r="B32" s="634"/>
      <c r="C32" s="86" t="s">
        <v>445</v>
      </c>
      <c r="D32" s="102">
        <v>1</v>
      </c>
      <c r="E32" s="102">
        <v>11</v>
      </c>
      <c r="F32" s="98">
        <v>0.1</v>
      </c>
      <c r="G32" s="98">
        <v>0.2</v>
      </c>
      <c r="H32" s="98">
        <v>0.3</v>
      </c>
      <c r="I32" s="98">
        <v>0.8</v>
      </c>
      <c r="J32" s="98">
        <v>0.9</v>
      </c>
      <c r="K32" s="98">
        <v>1</v>
      </c>
      <c r="L32" s="98">
        <v>1.4</v>
      </c>
      <c r="M32" s="98">
        <v>1.6</v>
      </c>
      <c r="N32" s="113">
        <v>1.5</v>
      </c>
      <c r="O32" s="98">
        <v>1.8</v>
      </c>
      <c r="P32" s="109"/>
      <c r="Q32" s="99">
        <f t="shared" si="11"/>
        <v>1</v>
      </c>
      <c r="R32" s="99">
        <f t="shared" si="12"/>
        <v>0.2</v>
      </c>
      <c r="S32" s="99">
        <f t="shared" si="13"/>
        <v>0.3</v>
      </c>
      <c r="T32" s="99">
        <f t="shared" si="14"/>
        <v>0.8</v>
      </c>
      <c r="U32" s="99">
        <f t="shared" si="15"/>
        <v>0.9</v>
      </c>
      <c r="V32" s="99">
        <f t="shared" si="16"/>
        <v>1</v>
      </c>
      <c r="W32" s="99">
        <f t="shared" si="17"/>
        <v>1.4</v>
      </c>
      <c r="X32" s="99">
        <f t="shared" si="18"/>
        <v>1.6</v>
      </c>
      <c r="Y32" s="99">
        <f t="shared" si="19"/>
        <v>1.5</v>
      </c>
      <c r="Z32" s="99">
        <f t="shared" si="20"/>
        <v>1.8</v>
      </c>
      <c r="AA32" s="64">
        <f t="shared" si="10"/>
        <v>10.5</v>
      </c>
    </row>
    <row r="33" spans="1:27" ht="26.25" thickBot="1" x14ac:dyDescent="0.3">
      <c r="A33" s="655"/>
      <c r="B33" s="632" t="s">
        <v>446</v>
      </c>
      <c r="C33" s="86" t="s">
        <v>444</v>
      </c>
      <c r="D33" s="102">
        <v>10</v>
      </c>
      <c r="E33" s="102">
        <v>130</v>
      </c>
      <c r="F33" s="98">
        <v>0.2</v>
      </c>
      <c r="G33" s="98">
        <v>0.6</v>
      </c>
      <c r="H33" s="98">
        <v>0.9</v>
      </c>
      <c r="I33" s="98">
        <v>1.2</v>
      </c>
      <c r="J33" s="98">
        <v>1.5</v>
      </c>
      <c r="K33" s="98">
        <v>2</v>
      </c>
      <c r="L33" s="98">
        <v>2</v>
      </c>
      <c r="M33" s="98">
        <v>1.5</v>
      </c>
      <c r="N33" s="113">
        <v>1.4</v>
      </c>
      <c r="O33" s="98">
        <v>0.7</v>
      </c>
      <c r="P33" s="109"/>
      <c r="Q33" s="99">
        <f t="shared" si="11"/>
        <v>10</v>
      </c>
      <c r="R33" s="99">
        <f t="shared" si="12"/>
        <v>6</v>
      </c>
      <c r="S33" s="99">
        <f t="shared" si="13"/>
        <v>9</v>
      </c>
      <c r="T33" s="99">
        <f t="shared" si="14"/>
        <v>12</v>
      </c>
      <c r="U33" s="99">
        <f t="shared" si="15"/>
        <v>15</v>
      </c>
      <c r="V33" s="99">
        <f t="shared" si="16"/>
        <v>20</v>
      </c>
      <c r="W33" s="99">
        <f t="shared" si="17"/>
        <v>20</v>
      </c>
      <c r="X33" s="99">
        <f t="shared" si="18"/>
        <v>15</v>
      </c>
      <c r="Y33" s="99">
        <f t="shared" si="19"/>
        <v>14</v>
      </c>
      <c r="Z33" s="99">
        <f t="shared" si="20"/>
        <v>7</v>
      </c>
      <c r="AA33" s="64">
        <f t="shared" si="10"/>
        <v>128</v>
      </c>
    </row>
    <row r="34" spans="1:27" ht="15.75" thickBot="1" x14ac:dyDescent="0.3">
      <c r="A34" s="655"/>
      <c r="B34" s="634"/>
      <c r="C34" s="103" t="s">
        <v>447</v>
      </c>
      <c r="D34" s="102">
        <v>10</v>
      </c>
      <c r="E34" s="102">
        <v>130</v>
      </c>
      <c r="F34" s="98">
        <v>0.2</v>
      </c>
      <c r="G34" s="98">
        <v>0.6</v>
      </c>
      <c r="H34" s="98">
        <v>0.9</v>
      </c>
      <c r="I34" s="98">
        <v>1.2</v>
      </c>
      <c r="J34" s="98">
        <v>1.5</v>
      </c>
      <c r="K34" s="98">
        <v>2</v>
      </c>
      <c r="L34" s="98">
        <v>2</v>
      </c>
      <c r="M34" s="98">
        <v>1.5</v>
      </c>
      <c r="N34" s="113">
        <v>1.4</v>
      </c>
      <c r="O34" s="98">
        <v>0.7</v>
      </c>
      <c r="P34" s="109"/>
      <c r="Q34" s="99">
        <f t="shared" si="11"/>
        <v>10</v>
      </c>
      <c r="R34" s="99">
        <f t="shared" si="12"/>
        <v>6</v>
      </c>
      <c r="S34" s="99">
        <f t="shared" si="13"/>
        <v>9</v>
      </c>
      <c r="T34" s="99">
        <f t="shared" si="14"/>
        <v>12</v>
      </c>
      <c r="U34" s="99">
        <f t="shared" si="15"/>
        <v>15</v>
      </c>
      <c r="V34" s="99">
        <f t="shared" si="16"/>
        <v>20</v>
      </c>
      <c r="W34" s="99">
        <f t="shared" si="17"/>
        <v>20</v>
      </c>
      <c r="X34" s="99">
        <f t="shared" si="18"/>
        <v>15</v>
      </c>
      <c r="Y34" s="99">
        <f t="shared" si="19"/>
        <v>14</v>
      </c>
      <c r="Z34" s="99">
        <f t="shared" si="20"/>
        <v>7</v>
      </c>
      <c r="AA34" s="64">
        <f t="shared" si="10"/>
        <v>128</v>
      </c>
    </row>
    <row r="35" spans="1:27" ht="26.25" thickBot="1" x14ac:dyDescent="0.3">
      <c r="A35" s="655"/>
      <c r="B35" s="632" t="s">
        <v>448</v>
      </c>
      <c r="C35" s="86" t="s">
        <v>449</v>
      </c>
      <c r="D35" s="102">
        <v>0</v>
      </c>
      <c r="E35" s="102">
        <v>1</v>
      </c>
      <c r="F35" s="98">
        <v>0.1</v>
      </c>
      <c r="G35" s="98">
        <v>0.4</v>
      </c>
      <c r="H35" s="98">
        <v>0.5</v>
      </c>
      <c r="I35" s="98">
        <v>0</v>
      </c>
      <c r="J35" s="98">
        <v>0</v>
      </c>
      <c r="K35" s="98">
        <v>0</v>
      </c>
      <c r="L35" s="98">
        <v>0</v>
      </c>
      <c r="M35" s="98">
        <v>0</v>
      </c>
      <c r="N35" s="113">
        <v>0</v>
      </c>
      <c r="O35" s="98">
        <v>0</v>
      </c>
      <c r="P35" s="109"/>
      <c r="Q35" s="99">
        <f t="shared" si="11"/>
        <v>0</v>
      </c>
      <c r="R35" s="99">
        <f t="shared" si="12"/>
        <v>0</v>
      </c>
      <c r="S35" s="99">
        <f t="shared" si="13"/>
        <v>0</v>
      </c>
      <c r="T35" s="99">
        <f t="shared" si="14"/>
        <v>0</v>
      </c>
      <c r="U35" s="99">
        <f t="shared" si="15"/>
        <v>0</v>
      </c>
      <c r="V35" s="99">
        <f t="shared" si="16"/>
        <v>0</v>
      </c>
      <c r="W35" s="99">
        <f t="shared" si="17"/>
        <v>0</v>
      </c>
      <c r="X35" s="99">
        <f t="shared" si="18"/>
        <v>0</v>
      </c>
      <c r="Y35" s="99">
        <f t="shared" si="19"/>
        <v>0</v>
      </c>
      <c r="Z35" s="99">
        <f t="shared" si="20"/>
        <v>0</v>
      </c>
      <c r="AA35" s="64">
        <f t="shared" si="10"/>
        <v>0</v>
      </c>
    </row>
    <row r="36" spans="1:27" ht="26.25" thickBot="1" x14ac:dyDescent="0.3">
      <c r="A36" s="655"/>
      <c r="B36" s="635"/>
      <c r="C36" s="86" t="s">
        <v>450</v>
      </c>
      <c r="D36" s="102">
        <v>0</v>
      </c>
      <c r="E36" s="102">
        <v>1</v>
      </c>
      <c r="F36" s="98">
        <v>0.1</v>
      </c>
      <c r="G36" s="98">
        <v>0.4</v>
      </c>
      <c r="H36" s="98">
        <v>0.5</v>
      </c>
      <c r="I36" s="98">
        <v>0</v>
      </c>
      <c r="J36" s="98">
        <v>0</v>
      </c>
      <c r="K36" s="98">
        <v>0</v>
      </c>
      <c r="L36" s="98">
        <v>0</v>
      </c>
      <c r="M36" s="98">
        <v>0</v>
      </c>
      <c r="N36" s="113">
        <v>0</v>
      </c>
      <c r="O36" s="98">
        <v>0</v>
      </c>
      <c r="P36" s="109"/>
      <c r="Q36" s="99">
        <f t="shared" si="11"/>
        <v>0</v>
      </c>
      <c r="R36" s="99">
        <f t="shared" si="12"/>
        <v>0</v>
      </c>
      <c r="S36" s="99">
        <f t="shared" si="13"/>
        <v>0</v>
      </c>
      <c r="T36" s="99">
        <f t="shared" si="14"/>
        <v>0</v>
      </c>
      <c r="U36" s="99">
        <f t="shared" si="15"/>
        <v>0</v>
      </c>
      <c r="V36" s="99">
        <f t="shared" si="16"/>
        <v>0</v>
      </c>
      <c r="W36" s="99">
        <f t="shared" si="17"/>
        <v>0</v>
      </c>
      <c r="X36" s="99">
        <f t="shared" si="18"/>
        <v>0</v>
      </c>
      <c r="Y36" s="99">
        <f t="shared" si="19"/>
        <v>0</v>
      </c>
      <c r="Z36" s="99">
        <f t="shared" si="20"/>
        <v>0</v>
      </c>
      <c r="AA36" s="64">
        <f t="shared" si="10"/>
        <v>0</v>
      </c>
    </row>
    <row r="37" spans="1:27" ht="51.75" thickBot="1" x14ac:dyDescent="0.3">
      <c r="A37" s="655"/>
      <c r="B37" s="85" t="s">
        <v>451</v>
      </c>
      <c r="C37" s="86" t="s">
        <v>452</v>
      </c>
      <c r="D37" s="102">
        <v>2</v>
      </c>
      <c r="E37" s="102">
        <v>8</v>
      </c>
      <c r="F37" s="98">
        <v>0.5</v>
      </c>
      <c r="G37" s="98">
        <v>0.25</v>
      </c>
      <c r="H37" s="98">
        <v>0.12</v>
      </c>
      <c r="I37" s="98">
        <v>0.13</v>
      </c>
      <c r="J37" s="98">
        <v>0.15</v>
      </c>
      <c r="K37" s="98">
        <v>0.2</v>
      </c>
      <c r="L37" s="98">
        <v>0.4</v>
      </c>
      <c r="M37" s="98">
        <v>0.7</v>
      </c>
      <c r="N37" s="113">
        <v>0.5</v>
      </c>
      <c r="O37" s="98">
        <v>0.2</v>
      </c>
      <c r="P37" s="109"/>
      <c r="Q37" s="99">
        <f t="shared" si="11"/>
        <v>2</v>
      </c>
      <c r="R37" s="99">
        <f t="shared" si="12"/>
        <v>0.5</v>
      </c>
      <c r="S37" s="99">
        <f t="shared" si="13"/>
        <v>0.24</v>
      </c>
      <c r="T37" s="99">
        <f t="shared" si="14"/>
        <v>0.26</v>
      </c>
      <c r="U37" s="99">
        <f t="shared" si="15"/>
        <v>0.3</v>
      </c>
      <c r="V37" s="99">
        <f t="shared" si="16"/>
        <v>0.4</v>
      </c>
      <c r="W37" s="99">
        <f t="shared" si="17"/>
        <v>0.8</v>
      </c>
      <c r="X37" s="99">
        <f t="shared" si="18"/>
        <v>1.4</v>
      </c>
      <c r="Y37" s="99">
        <f t="shared" si="19"/>
        <v>1</v>
      </c>
      <c r="Z37" s="99">
        <f t="shared" si="20"/>
        <v>0.4</v>
      </c>
      <c r="AA37" s="64">
        <f t="shared" si="10"/>
        <v>7.3000000000000007</v>
      </c>
    </row>
    <row r="38" spans="1:27" ht="39" thickBot="1" x14ac:dyDescent="0.3">
      <c r="A38" s="655"/>
      <c r="B38" s="85" t="s">
        <v>453</v>
      </c>
      <c r="C38" s="86" t="s">
        <v>454</v>
      </c>
      <c r="D38" s="102">
        <v>1</v>
      </c>
      <c r="E38" s="102">
        <v>4</v>
      </c>
      <c r="F38" s="98">
        <v>0.1</v>
      </c>
      <c r="G38" s="98">
        <v>0.35</v>
      </c>
      <c r="H38" s="98">
        <v>0.7</v>
      </c>
      <c r="I38" s="98">
        <v>2</v>
      </c>
      <c r="J38" s="98">
        <v>0</v>
      </c>
      <c r="K38" s="98">
        <v>0</v>
      </c>
      <c r="L38" s="98">
        <v>0</v>
      </c>
      <c r="M38" s="98">
        <v>0</v>
      </c>
      <c r="N38" s="98">
        <v>0</v>
      </c>
      <c r="O38" s="113">
        <v>0</v>
      </c>
      <c r="P38" s="110"/>
      <c r="Q38" s="99">
        <f t="shared" si="11"/>
        <v>1</v>
      </c>
      <c r="R38" s="99">
        <f t="shared" si="12"/>
        <v>0.35</v>
      </c>
      <c r="S38" s="99">
        <f t="shared" si="13"/>
        <v>0.7</v>
      </c>
      <c r="T38" s="99">
        <f t="shared" si="14"/>
        <v>2</v>
      </c>
      <c r="U38" s="99">
        <f t="shared" si="15"/>
        <v>0</v>
      </c>
      <c r="V38" s="99">
        <f t="shared" si="16"/>
        <v>0</v>
      </c>
      <c r="W38" s="99">
        <f t="shared" si="17"/>
        <v>0</v>
      </c>
      <c r="X38" s="99">
        <f t="shared" si="18"/>
        <v>0</v>
      </c>
      <c r="Y38" s="99">
        <f t="shared" si="19"/>
        <v>0</v>
      </c>
      <c r="Z38" s="99">
        <f t="shared" si="20"/>
        <v>0</v>
      </c>
      <c r="AA38" s="64">
        <f t="shared" si="10"/>
        <v>4.05</v>
      </c>
    </row>
    <row r="39" spans="1:27" ht="51.75" thickBot="1" x14ac:dyDescent="0.3">
      <c r="A39" s="655"/>
      <c r="B39" s="632" t="s">
        <v>455</v>
      </c>
      <c r="C39" s="86" t="s">
        <v>456</v>
      </c>
      <c r="D39" s="102">
        <v>4</v>
      </c>
      <c r="E39" s="102">
        <v>9</v>
      </c>
      <c r="F39" s="98">
        <v>0.25</v>
      </c>
      <c r="G39" s="98">
        <v>0.2</v>
      </c>
      <c r="H39" s="98">
        <v>0.15</v>
      </c>
      <c r="I39" s="98">
        <v>0.2</v>
      </c>
      <c r="J39" s="98">
        <v>0.5</v>
      </c>
      <c r="K39" s="98">
        <v>0</v>
      </c>
      <c r="L39" s="98">
        <v>0</v>
      </c>
      <c r="M39" s="98">
        <v>0</v>
      </c>
      <c r="N39" s="98">
        <v>0</v>
      </c>
      <c r="O39" s="113">
        <v>0</v>
      </c>
      <c r="P39" s="110"/>
      <c r="Q39" s="99">
        <f t="shared" si="11"/>
        <v>4</v>
      </c>
      <c r="R39" s="99">
        <f t="shared" si="12"/>
        <v>0.8</v>
      </c>
      <c r="S39" s="99">
        <f t="shared" si="13"/>
        <v>0.6</v>
      </c>
      <c r="T39" s="99">
        <f t="shared" si="14"/>
        <v>0.8</v>
      </c>
      <c r="U39" s="99">
        <f t="shared" si="15"/>
        <v>2</v>
      </c>
      <c r="V39" s="99">
        <f t="shared" si="16"/>
        <v>0</v>
      </c>
      <c r="W39" s="99">
        <f t="shared" si="17"/>
        <v>0</v>
      </c>
      <c r="X39" s="99">
        <f t="shared" si="18"/>
        <v>0</v>
      </c>
      <c r="Y39" s="99">
        <f t="shared" si="19"/>
        <v>0</v>
      </c>
      <c r="Z39" s="99">
        <f t="shared" si="20"/>
        <v>0</v>
      </c>
      <c r="AA39" s="64">
        <f t="shared" si="10"/>
        <v>8.1999999999999993</v>
      </c>
    </row>
    <row r="40" spans="1:27" ht="39" thickBot="1" x14ac:dyDescent="0.3">
      <c r="A40" s="655"/>
      <c r="B40" s="633"/>
      <c r="C40" s="104" t="s">
        <v>457</v>
      </c>
      <c r="D40" s="105">
        <v>1</v>
      </c>
      <c r="E40" s="105">
        <v>21</v>
      </c>
      <c r="F40" s="98">
        <v>0.6</v>
      </c>
      <c r="G40" s="98">
        <v>0.5</v>
      </c>
      <c r="H40" s="98">
        <v>1</v>
      </c>
      <c r="I40" s="98">
        <v>2</v>
      </c>
      <c r="J40" s="98">
        <v>3</v>
      </c>
      <c r="K40" s="98">
        <v>3</v>
      </c>
      <c r="L40" s="98">
        <v>2</v>
      </c>
      <c r="M40" s="98">
        <v>3</v>
      </c>
      <c r="N40" s="98">
        <v>2</v>
      </c>
      <c r="O40" s="113">
        <v>2.5</v>
      </c>
      <c r="P40" s="110"/>
      <c r="Q40" s="99">
        <f t="shared" si="11"/>
        <v>1</v>
      </c>
      <c r="R40" s="99">
        <f t="shared" si="12"/>
        <v>0.5</v>
      </c>
      <c r="S40" s="99">
        <f t="shared" si="13"/>
        <v>1</v>
      </c>
      <c r="T40" s="99">
        <f t="shared" si="14"/>
        <v>2</v>
      </c>
      <c r="U40" s="99">
        <f t="shared" si="15"/>
        <v>3</v>
      </c>
      <c r="V40" s="99">
        <f t="shared" si="16"/>
        <v>3</v>
      </c>
      <c r="W40" s="99">
        <f t="shared" si="17"/>
        <v>2</v>
      </c>
      <c r="X40" s="99">
        <f t="shared" si="18"/>
        <v>3</v>
      </c>
      <c r="Y40" s="99">
        <f t="shared" si="19"/>
        <v>2</v>
      </c>
      <c r="Z40" s="99">
        <f t="shared" si="20"/>
        <v>2.5</v>
      </c>
      <c r="AA40" s="64">
        <f t="shared" si="10"/>
        <v>20</v>
      </c>
    </row>
    <row r="41" spans="1:27" ht="39" thickBot="1" x14ac:dyDescent="0.3">
      <c r="A41" s="655"/>
      <c r="B41" s="633"/>
      <c r="C41" s="106" t="s">
        <v>458</v>
      </c>
      <c r="D41" s="107">
        <v>11</v>
      </c>
      <c r="E41" s="107">
        <v>161</v>
      </c>
      <c r="F41" s="98">
        <v>0.6</v>
      </c>
      <c r="G41" s="98">
        <v>0.5</v>
      </c>
      <c r="H41" s="98">
        <v>1</v>
      </c>
      <c r="I41" s="98">
        <v>1.5</v>
      </c>
      <c r="J41" s="98">
        <v>1.7</v>
      </c>
      <c r="K41" s="98">
        <v>1.9</v>
      </c>
      <c r="L41" s="98">
        <v>2</v>
      </c>
      <c r="M41" s="98">
        <v>1.9</v>
      </c>
      <c r="N41" s="98">
        <v>1.5</v>
      </c>
      <c r="O41" s="113">
        <v>1</v>
      </c>
      <c r="P41" s="110"/>
      <c r="Q41" s="99">
        <f t="shared" si="11"/>
        <v>11</v>
      </c>
      <c r="R41" s="99">
        <f t="shared" si="12"/>
        <v>5.5</v>
      </c>
      <c r="S41" s="99">
        <f t="shared" si="13"/>
        <v>11</v>
      </c>
      <c r="T41" s="99">
        <f t="shared" si="14"/>
        <v>16.5</v>
      </c>
      <c r="U41" s="99">
        <f t="shared" si="15"/>
        <v>18.7</v>
      </c>
      <c r="V41" s="99">
        <f t="shared" si="16"/>
        <v>20.9</v>
      </c>
      <c r="W41" s="99">
        <f t="shared" si="17"/>
        <v>22</v>
      </c>
      <c r="X41" s="99">
        <f t="shared" si="18"/>
        <v>20.9</v>
      </c>
      <c r="Y41" s="99">
        <f t="shared" si="19"/>
        <v>16.5</v>
      </c>
      <c r="Z41" s="99">
        <f t="shared" si="20"/>
        <v>11</v>
      </c>
      <c r="AA41" s="64">
        <f t="shared" si="10"/>
        <v>154</v>
      </c>
    </row>
    <row r="42" spans="1:27" ht="39" thickBot="1" x14ac:dyDescent="0.3">
      <c r="A42" s="656"/>
      <c r="B42" s="634"/>
      <c r="C42" s="86" t="s">
        <v>459</v>
      </c>
      <c r="D42" s="102">
        <v>1</v>
      </c>
      <c r="E42" s="102">
        <v>1</v>
      </c>
      <c r="F42" s="98">
        <v>0.05</v>
      </c>
      <c r="G42" s="98">
        <v>0.09</v>
      </c>
      <c r="H42" s="98">
        <v>0.12</v>
      </c>
      <c r="I42" s="98">
        <v>0.13</v>
      </c>
      <c r="J42" s="98">
        <v>0</v>
      </c>
      <c r="K42" s="98">
        <v>0</v>
      </c>
      <c r="L42" s="98">
        <v>0</v>
      </c>
      <c r="M42" s="98">
        <v>0</v>
      </c>
      <c r="N42" s="113">
        <v>0</v>
      </c>
      <c r="O42" s="98">
        <v>0</v>
      </c>
      <c r="P42" s="109"/>
      <c r="Q42" s="99">
        <f t="shared" si="11"/>
        <v>1</v>
      </c>
      <c r="R42" s="99">
        <f t="shared" si="12"/>
        <v>0.09</v>
      </c>
      <c r="S42" s="99">
        <f t="shared" si="13"/>
        <v>0.12</v>
      </c>
      <c r="T42" s="99">
        <f t="shared" si="14"/>
        <v>0.13</v>
      </c>
      <c r="U42" s="99">
        <f t="shared" si="15"/>
        <v>0</v>
      </c>
      <c r="V42" s="99">
        <f t="shared" si="16"/>
        <v>0</v>
      </c>
      <c r="W42" s="99">
        <f t="shared" si="17"/>
        <v>0</v>
      </c>
      <c r="X42" s="99">
        <f t="shared" si="18"/>
        <v>0</v>
      </c>
      <c r="Y42" s="99">
        <f t="shared" si="19"/>
        <v>0</v>
      </c>
      <c r="Z42" s="99">
        <f t="shared" si="20"/>
        <v>0</v>
      </c>
      <c r="AA42" s="64">
        <f t="shared" si="10"/>
        <v>1.3399999999999999</v>
      </c>
    </row>
    <row r="43" spans="1:27" x14ac:dyDescent="0.25">
      <c r="AA43" s="64"/>
    </row>
    <row r="44" spans="1:27" ht="15.75" thickBot="1" x14ac:dyDescent="0.3">
      <c r="AA44" s="64"/>
    </row>
    <row r="45" spans="1:27" ht="15.75" thickBot="1" x14ac:dyDescent="0.3">
      <c r="A45" s="664" t="s">
        <v>426</v>
      </c>
      <c r="B45" s="664" t="s">
        <v>401</v>
      </c>
      <c r="C45" s="664" t="s">
        <v>402</v>
      </c>
      <c r="D45" s="664" t="s">
        <v>403</v>
      </c>
      <c r="E45" s="664" t="s">
        <v>404</v>
      </c>
      <c r="F45" s="661" t="s">
        <v>405</v>
      </c>
      <c r="G45" s="662"/>
      <c r="H45" s="662"/>
      <c r="I45" s="662"/>
      <c r="J45" s="662"/>
      <c r="K45" s="662"/>
      <c r="L45" s="662"/>
      <c r="M45" s="662"/>
      <c r="N45" s="662"/>
      <c r="O45" s="663"/>
      <c r="Q45" s="661" t="s">
        <v>405</v>
      </c>
      <c r="R45" s="662"/>
      <c r="S45" s="662"/>
      <c r="T45" s="662"/>
      <c r="U45" s="662"/>
      <c r="V45" s="662"/>
      <c r="W45" s="662"/>
      <c r="X45" s="662"/>
      <c r="Y45" s="662"/>
      <c r="Z45" s="663"/>
      <c r="AA45" s="64"/>
    </row>
    <row r="46" spans="1:27" ht="15.75" thickBot="1" x14ac:dyDescent="0.3">
      <c r="A46" s="665"/>
      <c r="B46" s="665"/>
      <c r="C46" s="665"/>
      <c r="D46" s="668"/>
      <c r="E46" s="668"/>
      <c r="F46" s="114">
        <v>2015</v>
      </c>
      <c r="G46" s="114">
        <v>2016</v>
      </c>
      <c r="H46" s="114">
        <v>2017</v>
      </c>
      <c r="I46" s="114">
        <v>2018</v>
      </c>
      <c r="J46" s="114">
        <v>2019</v>
      </c>
      <c r="K46" s="114">
        <v>2020</v>
      </c>
      <c r="L46" s="114">
        <v>2021</v>
      </c>
      <c r="M46" s="114">
        <v>2022</v>
      </c>
      <c r="N46" s="114">
        <v>2023</v>
      </c>
      <c r="O46" s="114">
        <v>2024</v>
      </c>
      <c r="Q46" s="114">
        <v>2015</v>
      </c>
      <c r="R46" s="114">
        <v>2016</v>
      </c>
      <c r="S46" s="114">
        <v>2017</v>
      </c>
      <c r="T46" s="114">
        <v>2018</v>
      </c>
      <c r="U46" s="114">
        <v>2019</v>
      </c>
      <c r="V46" s="114">
        <v>2020</v>
      </c>
      <c r="W46" s="114">
        <v>2021</v>
      </c>
      <c r="X46" s="114">
        <v>2022</v>
      </c>
      <c r="Y46" s="114">
        <v>2023</v>
      </c>
      <c r="Z46" s="114">
        <v>2024</v>
      </c>
      <c r="AA46" s="64"/>
    </row>
    <row r="47" spans="1:27" ht="26.25" thickBot="1" x14ac:dyDescent="0.3">
      <c r="A47" s="657" t="s">
        <v>187</v>
      </c>
      <c r="B47" s="660" t="s">
        <v>460</v>
      </c>
      <c r="C47" s="95" t="s">
        <v>461</v>
      </c>
      <c r="D47" s="115">
        <v>0</v>
      </c>
      <c r="E47" s="94">
        <v>1</v>
      </c>
      <c r="F47" s="94">
        <v>0.1</v>
      </c>
      <c r="G47" s="94">
        <v>0.1</v>
      </c>
      <c r="H47" s="94">
        <v>0.1</v>
      </c>
      <c r="I47" s="94">
        <v>0.1</v>
      </c>
      <c r="J47" s="94">
        <v>0.1</v>
      </c>
      <c r="K47" s="94">
        <v>0.1</v>
      </c>
      <c r="L47" s="94">
        <v>0.1</v>
      </c>
      <c r="M47" s="94">
        <v>0.1</v>
      </c>
      <c r="N47" s="94">
        <v>0.1</v>
      </c>
      <c r="O47" s="94">
        <v>0.1</v>
      </c>
      <c r="Q47" s="99">
        <f>D47</f>
        <v>0</v>
      </c>
      <c r="R47" s="99">
        <f>D47*G47</f>
        <v>0</v>
      </c>
      <c r="S47" s="99">
        <f>D47*H47</f>
        <v>0</v>
      </c>
      <c r="T47" s="99">
        <f>D47*I47</f>
        <v>0</v>
      </c>
      <c r="U47" s="99">
        <f>D47*J47</f>
        <v>0</v>
      </c>
      <c r="V47" s="99">
        <f>D47*K47</f>
        <v>0</v>
      </c>
      <c r="W47" s="99">
        <f>D47*L47</f>
        <v>0</v>
      </c>
      <c r="X47" s="99">
        <f>D47*M47</f>
        <v>0</v>
      </c>
      <c r="Y47" s="99">
        <f>D47*N47</f>
        <v>0</v>
      </c>
      <c r="Z47" s="99">
        <f>D47*O47</f>
        <v>0</v>
      </c>
      <c r="AA47" s="64">
        <f t="shared" si="10"/>
        <v>0</v>
      </c>
    </row>
    <row r="48" spans="1:27" ht="39" thickBot="1" x14ac:dyDescent="0.3">
      <c r="A48" s="658"/>
      <c r="B48" s="633"/>
      <c r="C48" s="95" t="s">
        <v>462</v>
      </c>
      <c r="D48" s="115">
        <v>0</v>
      </c>
      <c r="E48" s="94">
        <v>1</v>
      </c>
      <c r="F48" s="94">
        <v>0.1</v>
      </c>
      <c r="G48" s="94">
        <v>0.1</v>
      </c>
      <c r="H48" s="94">
        <v>0.1</v>
      </c>
      <c r="I48" s="94">
        <v>0.1</v>
      </c>
      <c r="J48" s="94">
        <v>0.1</v>
      </c>
      <c r="K48" s="94">
        <v>0.1</v>
      </c>
      <c r="L48" s="94">
        <v>0.1</v>
      </c>
      <c r="M48" s="94">
        <v>0.1</v>
      </c>
      <c r="N48" s="94">
        <v>0.1</v>
      </c>
      <c r="O48" s="94">
        <v>0.1</v>
      </c>
      <c r="Q48" s="99">
        <f t="shared" ref="Q48:Q70" si="21">D48</f>
        <v>0</v>
      </c>
      <c r="R48" s="99">
        <f t="shared" ref="R48:R70" si="22">D48*G48</f>
        <v>0</v>
      </c>
      <c r="S48" s="99">
        <f t="shared" ref="S48:S70" si="23">D48*H48</f>
        <v>0</v>
      </c>
      <c r="T48" s="99">
        <f t="shared" ref="T48:T70" si="24">D48*I48</f>
        <v>0</v>
      </c>
      <c r="U48" s="99">
        <f t="shared" ref="U48:U70" si="25">D48*J48</f>
        <v>0</v>
      </c>
      <c r="V48" s="99">
        <f t="shared" ref="V48:V70" si="26">D48*K48</f>
        <v>0</v>
      </c>
      <c r="W48" s="99">
        <f t="shared" ref="W48:W70" si="27">D48*L48</f>
        <v>0</v>
      </c>
      <c r="X48" s="99">
        <f t="shared" ref="X48:X70" si="28">D48*M48</f>
        <v>0</v>
      </c>
      <c r="Y48" s="99">
        <f t="shared" ref="Y48:Y70" si="29">D48*N48</f>
        <v>0</v>
      </c>
      <c r="Z48" s="99">
        <f t="shared" ref="Z48:Z70" si="30">D48*O48</f>
        <v>0</v>
      </c>
      <c r="AA48" s="64">
        <f t="shared" si="10"/>
        <v>0</v>
      </c>
    </row>
    <row r="49" spans="1:27" ht="39" thickBot="1" x14ac:dyDescent="0.3">
      <c r="A49" s="658"/>
      <c r="B49" s="633"/>
      <c r="C49" s="95" t="s">
        <v>463</v>
      </c>
      <c r="D49" s="115">
        <v>201</v>
      </c>
      <c r="E49" s="115">
        <v>261</v>
      </c>
      <c r="F49" s="96">
        <v>0.03</v>
      </c>
      <c r="G49" s="96">
        <v>0.03</v>
      </c>
      <c r="H49" s="96">
        <v>0.03</v>
      </c>
      <c r="I49" s="96">
        <v>0.03</v>
      </c>
      <c r="J49" s="96">
        <v>0.03</v>
      </c>
      <c r="K49" s="96">
        <v>0.03</v>
      </c>
      <c r="L49" s="96">
        <v>0.03</v>
      </c>
      <c r="M49" s="96">
        <v>0.03</v>
      </c>
      <c r="N49" s="96">
        <v>0.03</v>
      </c>
      <c r="O49" s="96">
        <v>0.03</v>
      </c>
      <c r="Q49" s="99">
        <f t="shared" si="21"/>
        <v>201</v>
      </c>
      <c r="R49" s="99">
        <f t="shared" si="22"/>
        <v>6.0299999999999994</v>
      </c>
      <c r="S49" s="99">
        <f t="shared" si="23"/>
        <v>6.0299999999999994</v>
      </c>
      <c r="T49" s="99">
        <f t="shared" si="24"/>
        <v>6.0299999999999994</v>
      </c>
      <c r="U49" s="99">
        <f t="shared" si="25"/>
        <v>6.0299999999999994</v>
      </c>
      <c r="V49" s="99">
        <f t="shared" si="26"/>
        <v>6.0299999999999994</v>
      </c>
      <c r="W49" s="99">
        <f t="shared" si="27"/>
        <v>6.0299999999999994</v>
      </c>
      <c r="X49" s="99">
        <f t="shared" si="28"/>
        <v>6.0299999999999994</v>
      </c>
      <c r="Y49" s="99">
        <f t="shared" si="29"/>
        <v>6.0299999999999994</v>
      </c>
      <c r="Z49" s="99">
        <f t="shared" si="30"/>
        <v>6.0299999999999994</v>
      </c>
      <c r="AA49" s="64">
        <f t="shared" si="10"/>
        <v>255.27</v>
      </c>
    </row>
    <row r="50" spans="1:27" ht="39" thickBot="1" x14ac:dyDescent="0.3">
      <c r="A50" s="658"/>
      <c r="B50" s="634"/>
      <c r="C50" s="95" t="s">
        <v>464</v>
      </c>
      <c r="D50" s="115">
        <v>5</v>
      </c>
      <c r="E50" s="115">
        <v>50</v>
      </c>
      <c r="F50" s="96">
        <v>0</v>
      </c>
      <c r="G50" s="94">
        <v>0.1</v>
      </c>
      <c r="H50" s="94">
        <v>0.2</v>
      </c>
      <c r="I50" s="94">
        <v>0.4</v>
      </c>
      <c r="J50" s="94">
        <v>0.5</v>
      </c>
      <c r="K50" s="94">
        <v>0.8</v>
      </c>
      <c r="L50" s="94">
        <v>1</v>
      </c>
      <c r="M50" s="94">
        <v>2</v>
      </c>
      <c r="N50" s="94">
        <v>2</v>
      </c>
      <c r="O50" s="94">
        <v>2</v>
      </c>
      <c r="Q50" s="99">
        <f t="shared" si="21"/>
        <v>5</v>
      </c>
      <c r="R50" s="99">
        <f t="shared" si="22"/>
        <v>0.5</v>
      </c>
      <c r="S50" s="99">
        <f t="shared" si="23"/>
        <v>1</v>
      </c>
      <c r="T50" s="99">
        <f t="shared" si="24"/>
        <v>2</v>
      </c>
      <c r="U50" s="99">
        <f t="shared" si="25"/>
        <v>2.5</v>
      </c>
      <c r="V50" s="99">
        <f t="shared" si="26"/>
        <v>4</v>
      </c>
      <c r="W50" s="99">
        <f t="shared" si="27"/>
        <v>5</v>
      </c>
      <c r="X50" s="99">
        <f t="shared" si="28"/>
        <v>10</v>
      </c>
      <c r="Y50" s="99">
        <f t="shared" si="29"/>
        <v>10</v>
      </c>
      <c r="Z50" s="99">
        <f t="shared" si="30"/>
        <v>10</v>
      </c>
      <c r="AA50" s="64">
        <f t="shared" si="10"/>
        <v>50</v>
      </c>
    </row>
    <row r="51" spans="1:27" ht="39" thickBot="1" x14ac:dyDescent="0.3">
      <c r="A51" s="658"/>
      <c r="B51" s="85" t="s">
        <v>465</v>
      </c>
      <c r="C51" s="95" t="s">
        <v>466</v>
      </c>
      <c r="D51" s="115">
        <v>0</v>
      </c>
      <c r="E51" s="94">
        <v>1</v>
      </c>
      <c r="F51" s="94">
        <v>0.15</v>
      </c>
      <c r="G51" s="94">
        <v>0.15</v>
      </c>
      <c r="H51" s="94">
        <v>0.2</v>
      </c>
      <c r="I51" s="94">
        <v>0.2</v>
      </c>
      <c r="J51" s="94">
        <v>0.3</v>
      </c>
      <c r="K51" s="116">
        <v>0</v>
      </c>
      <c r="L51" s="116">
        <v>0</v>
      </c>
      <c r="M51" s="116">
        <v>0</v>
      </c>
      <c r="N51" s="116">
        <v>0</v>
      </c>
      <c r="O51" s="116">
        <v>0</v>
      </c>
      <c r="Q51" s="99">
        <f t="shared" si="21"/>
        <v>0</v>
      </c>
      <c r="R51" s="99">
        <f t="shared" si="22"/>
        <v>0</v>
      </c>
      <c r="S51" s="99">
        <f t="shared" si="23"/>
        <v>0</v>
      </c>
      <c r="T51" s="99">
        <f t="shared" si="24"/>
        <v>0</v>
      </c>
      <c r="U51" s="99">
        <f t="shared" si="25"/>
        <v>0</v>
      </c>
      <c r="V51" s="99">
        <f t="shared" si="26"/>
        <v>0</v>
      </c>
      <c r="W51" s="99">
        <f t="shared" si="27"/>
        <v>0</v>
      </c>
      <c r="X51" s="99">
        <f t="shared" si="28"/>
        <v>0</v>
      </c>
      <c r="Y51" s="99">
        <f t="shared" si="29"/>
        <v>0</v>
      </c>
      <c r="Z51" s="99">
        <f t="shared" si="30"/>
        <v>0</v>
      </c>
      <c r="AA51" s="64">
        <f t="shared" si="10"/>
        <v>0</v>
      </c>
    </row>
    <row r="52" spans="1:27" ht="39" thickBot="1" x14ac:dyDescent="0.3">
      <c r="A52" s="658"/>
      <c r="B52" s="632" t="s">
        <v>467</v>
      </c>
      <c r="C52" s="95" t="s">
        <v>468</v>
      </c>
      <c r="D52" s="115">
        <v>4</v>
      </c>
      <c r="E52" s="115">
        <v>51</v>
      </c>
      <c r="F52" s="94">
        <v>1.25</v>
      </c>
      <c r="G52" s="94">
        <v>1.25</v>
      </c>
      <c r="H52" s="94">
        <v>1.25</v>
      </c>
      <c r="I52" s="94">
        <v>1.25</v>
      </c>
      <c r="J52" s="94">
        <v>1.25</v>
      </c>
      <c r="K52" s="94">
        <v>1.25</v>
      </c>
      <c r="L52" s="94">
        <v>1.25</v>
      </c>
      <c r="M52" s="94">
        <v>1</v>
      </c>
      <c r="N52" s="94">
        <v>1</v>
      </c>
      <c r="O52" s="94">
        <v>1</v>
      </c>
      <c r="Q52" s="99">
        <f t="shared" si="21"/>
        <v>4</v>
      </c>
      <c r="R52" s="99">
        <f t="shared" si="22"/>
        <v>5</v>
      </c>
      <c r="S52" s="99">
        <f t="shared" si="23"/>
        <v>5</v>
      </c>
      <c r="T52" s="99">
        <f t="shared" si="24"/>
        <v>5</v>
      </c>
      <c r="U52" s="99">
        <f t="shared" si="25"/>
        <v>5</v>
      </c>
      <c r="V52" s="99">
        <f t="shared" si="26"/>
        <v>5</v>
      </c>
      <c r="W52" s="99">
        <f t="shared" si="27"/>
        <v>5</v>
      </c>
      <c r="X52" s="99">
        <f t="shared" si="28"/>
        <v>4</v>
      </c>
      <c r="Y52" s="99">
        <f t="shared" si="29"/>
        <v>4</v>
      </c>
      <c r="Z52" s="99">
        <f t="shared" si="30"/>
        <v>4</v>
      </c>
      <c r="AA52" s="64">
        <f t="shared" si="10"/>
        <v>46</v>
      </c>
    </row>
    <row r="53" spans="1:27" ht="39" thickBot="1" x14ac:dyDescent="0.3">
      <c r="A53" s="658"/>
      <c r="B53" s="633"/>
      <c r="C53" s="95" t="s">
        <v>469</v>
      </c>
      <c r="D53" s="115">
        <v>18</v>
      </c>
      <c r="E53" s="115">
        <v>200</v>
      </c>
      <c r="F53" s="94">
        <v>1.5</v>
      </c>
      <c r="G53" s="94">
        <v>1.5</v>
      </c>
      <c r="H53" s="94">
        <v>1.5</v>
      </c>
      <c r="I53" s="94">
        <v>2</v>
      </c>
      <c r="J53" s="94">
        <v>2</v>
      </c>
      <c r="K53" s="94">
        <v>1</v>
      </c>
      <c r="L53" s="94">
        <v>0.2</v>
      </c>
      <c r="M53" s="94">
        <v>0.2</v>
      </c>
      <c r="N53" s="94">
        <v>0.12</v>
      </c>
      <c r="O53" s="94">
        <v>0.11</v>
      </c>
      <c r="Q53" s="99">
        <f t="shared" si="21"/>
        <v>18</v>
      </c>
      <c r="R53" s="99">
        <f t="shared" si="22"/>
        <v>27</v>
      </c>
      <c r="S53" s="99">
        <f t="shared" si="23"/>
        <v>27</v>
      </c>
      <c r="T53" s="99">
        <f t="shared" si="24"/>
        <v>36</v>
      </c>
      <c r="U53" s="99">
        <f t="shared" si="25"/>
        <v>36</v>
      </c>
      <c r="V53" s="99">
        <f t="shared" si="26"/>
        <v>18</v>
      </c>
      <c r="W53" s="99">
        <f t="shared" si="27"/>
        <v>3.6</v>
      </c>
      <c r="X53" s="99">
        <f t="shared" si="28"/>
        <v>3.6</v>
      </c>
      <c r="Y53" s="99">
        <f t="shared" si="29"/>
        <v>2.16</v>
      </c>
      <c r="Z53" s="99">
        <f t="shared" si="30"/>
        <v>1.98</v>
      </c>
      <c r="AA53" s="64">
        <f t="shared" si="10"/>
        <v>173.33999999999997</v>
      </c>
    </row>
    <row r="54" spans="1:27" ht="39" thickBot="1" x14ac:dyDescent="0.3">
      <c r="A54" s="658"/>
      <c r="B54" s="633"/>
      <c r="C54" s="95" t="s">
        <v>470</v>
      </c>
      <c r="D54" s="115">
        <v>36</v>
      </c>
      <c r="E54" s="115">
        <v>400</v>
      </c>
      <c r="F54" s="94">
        <v>2</v>
      </c>
      <c r="G54" s="94">
        <v>1</v>
      </c>
      <c r="H54" s="94">
        <v>1.2</v>
      </c>
      <c r="I54" s="94">
        <v>1.2</v>
      </c>
      <c r="J54" s="94">
        <v>1.5</v>
      </c>
      <c r="K54" s="94">
        <v>1</v>
      </c>
      <c r="L54" s="94">
        <v>1</v>
      </c>
      <c r="M54" s="94">
        <v>1</v>
      </c>
      <c r="N54" s="94">
        <v>0.11</v>
      </c>
      <c r="O54" s="94">
        <v>0.11</v>
      </c>
      <c r="Q54" s="99">
        <f t="shared" si="21"/>
        <v>36</v>
      </c>
      <c r="R54" s="99">
        <f t="shared" si="22"/>
        <v>36</v>
      </c>
      <c r="S54" s="99">
        <f t="shared" si="23"/>
        <v>43.199999999999996</v>
      </c>
      <c r="T54" s="99">
        <f t="shared" si="24"/>
        <v>43.199999999999996</v>
      </c>
      <c r="U54" s="99">
        <f t="shared" si="25"/>
        <v>54</v>
      </c>
      <c r="V54" s="99">
        <f t="shared" si="26"/>
        <v>36</v>
      </c>
      <c r="W54" s="99">
        <f t="shared" si="27"/>
        <v>36</v>
      </c>
      <c r="X54" s="99">
        <f t="shared" si="28"/>
        <v>36</v>
      </c>
      <c r="Y54" s="99">
        <f t="shared" si="29"/>
        <v>3.96</v>
      </c>
      <c r="Z54" s="99">
        <f t="shared" si="30"/>
        <v>3.96</v>
      </c>
      <c r="AA54" s="64">
        <f t="shared" si="10"/>
        <v>328.31999999999994</v>
      </c>
    </row>
    <row r="55" spans="1:27" ht="26.25" thickBot="1" x14ac:dyDescent="0.3">
      <c r="A55" s="658"/>
      <c r="B55" s="633"/>
      <c r="C55" s="95" t="s">
        <v>471</v>
      </c>
      <c r="D55" s="115">
        <v>17</v>
      </c>
      <c r="E55" s="115">
        <v>200</v>
      </c>
      <c r="F55" s="94">
        <v>1.5</v>
      </c>
      <c r="G55" s="94">
        <v>1.2</v>
      </c>
      <c r="H55" s="94">
        <v>1.1000000000000001</v>
      </c>
      <c r="I55" s="94">
        <v>1</v>
      </c>
      <c r="J55" s="94">
        <v>1</v>
      </c>
      <c r="K55" s="94">
        <v>0.9</v>
      </c>
      <c r="L55" s="94">
        <v>0.9</v>
      </c>
      <c r="M55" s="94">
        <v>0.9</v>
      </c>
      <c r="N55" s="94">
        <v>1</v>
      </c>
      <c r="O55" s="94">
        <v>1.25</v>
      </c>
      <c r="Q55" s="99">
        <f t="shared" si="21"/>
        <v>17</v>
      </c>
      <c r="R55" s="99">
        <f t="shared" si="22"/>
        <v>20.399999999999999</v>
      </c>
      <c r="S55" s="99">
        <f t="shared" si="23"/>
        <v>18.700000000000003</v>
      </c>
      <c r="T55" s="99">
        <f t="shared" si="24"/>
        <v>17</v>
      </c>
      <c r="U55" s="99">
        <f t="shared" si="25"/>
        <v>17</v>
      </c>
      <c r="V55" s="99">
        <f t="shared" si="26"/>
        <v>15.3</v>
      </c>
      <c r="W55" s="99">
        <f t="shared" si="27"/>
        <v>15.3</v>
      </c>
      <c r="X55" s="99">
        <f t="shared" si="28"/>
        <v>15.3</v>
      </c>
      <c r="Y55" s="99">
        <f t="shared" si="29"/>
        <v>17</v>
      </c>
      <c r="Z55" s="99">
        <f t="shared" si="30"/>
        <v>21.25</v>
      </c>
      <c r="AA55" s="64">
        <f t="shared" si="10"/>
        <v>174.25</v>
      </c>
    </row>
    <row r="56" spans="1:27" ht="26.25" thickBot="1" x14ac:dyDescent="0.3">
      <c r="A56" s="658"/>
      <c r="B56" s="633"/>
      <c r="C56" s="95" t="s">
        <v>472</v>
      </c>
      <c r="D56" s="115">
        <v>2</v>
      </c>
      <c r="E56" s="115">
        <v>200</v>
      </c>
      <c r="F56" s="94">
        <v>9</v>
      </c>
      <c r="G56" s="94">
        <v>9</v>
      </c>
      <c r="H56" s="94">
        <v>9</v>
      </c>
      <c r="I56" s="94">
        <v>9</v>
      </c>
      <c r="J56" s="94">
        <v>9</v>
      </c>
      <c r="K56" s="94">
        <v>9</v>
      </c>
      <c r="L56" s="94">
        <v>9</v>
      </c>
      <c r="M56" s="94">
        <v>10</v>
      </c>
      <c r="N56" s="94">
        <v>10.9</v>
      </c>
      <c r="O56" s="94">
        <v>15</v>
      </c>
      <c r="Q56" s="99">
        <f t="shared" si="21"/>
        <v>2</v>
      </c>
      <c r="R56" s="99">
        <f t="shared" si="22"/>
        <v>18</v>
      </c>
      <c r="S56" s="99">
        <f t="shared" si="23"/>
        <v>18</v>
      </c>
      <c r="T56" s="99">
        <f t="shared" si="24"/>
        <v>18</v>
      </c>
      <c r="U56" s="99">
        <f t="shared" si="25"/>
        <v>18</v>
      </c>
      <c r="V56" s="99">
        <f t="shared" si="26"/>
        <v>18</v>
      </c>
      <c r="W56" s="99">
        <f t="shared" si="27"/>
        <v>18</v>
      </c>
      <c r="X56" s="99">
        <f t="shared" si="28"/>
        <v>20</v>
      </c>
      <c r="Y56" s="99">
        <f t="shared" si="29"/>
        <v>21.8</v>
      </c>
      <c r="Z56" s="99">
        <f t="shared" si="30"/>
        <v>30</v>
      </c>
      <c r="AA56" s="64">
        <f t="shared" si="10"/>
        <v>181.8</v>
      </c>
    </row>
    <row r="57" spans="1:27" ht="26.25" thickBot="1" x14ac:dyDescent="0.3">
      <c r="A57" s="658"/>
      <c r="B57" s="633"/>
      <c r="C57" s="95" t="s">
        <v>473</v>
      </c>
      <c r="D57" s="115">
        <v>6</v>
      </c>
      <c r="E57" s="115">
        <v>190</v>
      </c>
      <c r="F57" s="94">
        <v>4</v>
      </c>
      <c r="G57" s="94">
        <v>5</v>
      </c>
      <c r="H57" s="94">
        <v>8</v>
      </c>
      <c r="I57" s="94">
        <v>9</v>
      </c>
      <c r="J57" s="94">
        <v>9</v>
      </c>
      <c r="K57" s="94">
        <v>9</v>
      </c>
      <c r="L57" s="94">
        <v>9</v>
      </c>
      <c r="M57" s="94">
        <v>9</v>
      </c>
      <c r="N57" s="94">
        <v>9</v>
      </c>
      <c r="O57" s="94">
        <v>9</v>
      </c>
      <c r="Q57" s="99">
        <f t="shared" si="21"/>
        <v>6</v>
      </c>
      <c r="R57" s="99">
        <f t="shared" si="22"/>
        <v>30</v>
      </c>
      <c r="S57" s="99">
        <f t="shared" si="23"/>
        <v>48</v>
      </c>
      <c r="T57" s="99">
        <f t="shared" si="24"/>
        <v>54</v>
      </c>
      <c r="U57" s="99">
        <f t="shared" si="25"/>
        <v>54</v>
      </c>
      <c r="V57" s="99">
        <f t="shared" si="26"/>
        <v>54</v>
      </c>
      <c r="W57" s="99">
        <f t="shared" si="27"/>
        <v>54</v>
      </c>
      <c r="X57" s="99">
        <f t="shared" si="28"/>
        <v>54</v>
      </c>
      <c r="Y57" s="99">
        <f t="shared" si="29"/>
        <v>54</v>
      </c>
      <c r="Z57" s="99">
        <f t="shared" si="30"/>
        <v>54</v>
      </c>
      <c r="AA57" s="64">
        <f t="shared" si="10"/>
        <v>462</v>
      </c>
    </row>
    <row r="58" spans="1:27" ht="51.75" thickBot="1" x14ac:dyDescent="0.3">
      <c r="A58" s="658"/>
      <c r="B58" s="634"/>
      <c r="C58" s="95" t="s">
        <v>474</v>
      </c>
      <c r="D58" s="115">
        <v>0</v>
      </c>
      <c r="E58" s="94">
        <v>1</v>
      </c>
      <c r="F58" s="94">
        <v>0.1</v>
      </c>
      <c r="G58" s="94">
        <v>0.1</v>
      </c>
      <c r="H58" s="94">
        <v>0.1</v>
      </c>
      <c r="I58" s="94">
        <v>0.1</v>
      </c>
      <c r="J58" s="94">
        <v>0.1</v>
      </c>
      <c r="K58" s="94">
        <v>0.1</v>
      </c>
      <c r="L58" s="94">
        <v>0.1</v>
      </c>
      <c r="M58" s="94">
        <v>0.1</v>
      </c>
      <c r="N58" s="94">
        <v>0.1</v>
      </c>
      <c r="O58" s="94">
        <v>0.1</v>
      </c>
      <c r="Q58" s="99">
        <f t="shared" si="21"/>
        <v>0</v>
      </c>
      <c r="R58" s="99">
        <f t="shared" si="22"/>
        <v>0</v>
      </c>
      <c r="S58" s="99">
        <f t="shared" si="23"/>
        <v>0</v>
      </c>
      <c r="T58" s="99">
        <f t="shared" si="24"/>
        <v>0</v>
      </c>
      <c r="U58" s="99">
        <f t="shared" si="25"/>
        <v>0</v>
      </c>
      <c r="V58" s="99">
        <f t="shared" si="26"/>
        <v>0</v>
      </c>
      <c r="W58" s="99">
        <f t="shared" si="27"/>
        <v>0</v>
      </c>
      <c r="X58" s="99">
        <f t="shared" si="28"/>
        <v>0</v>
      </c>
      <c r="Y58" s="99">
        <f t="shared" si="29"/>
        <v>0</v>
      </c>
      <c r="Z58" s="99">
        <f t="shared" si="30"/>
        <v>0</v>
      </c>
      <c r="AA58" s="64">
        <f t="shared" si="10"/>
        <v>0</v>
      </c>
    </row>
    <row r="59" spans="1:27" ht="51.75" thickBot="1" x14ac:dyDescent="0.3">
      <c r="A59" s="658"/>
      <c r="B59" s="85" t="s">
        <v>475</v>
      </c>
      <c r="C59" s="95" t="s">
        <v>476</v>
      </c>
      <c r="D59" s="115">
        <v>0</v>
      </c>
      <c r="E59" s="94">
        <v>1</v>
      </c>
      <c r="F59" s="94">
        <v>0.5</v>
      </c>
      <c r="G59" s="94">
        <v>0.5</v>
      </c>
      <c r="H59" s="94">
        <v>0</v>
      </c>
      <c r="I59" s="94">
        <v>0</v>
      </c>
      <c r="J59" s="94">
        <v>0</v>
      </c>
      <c r="K59" s="116">
        <v>0</v>
      </c>
      <c r="L59" s="116">
        <v>0</v>
      </c>
      <c r="M59" s="116">
        <v>0</v>
      </c>
      <c r="N59" s="116">
        <v>0</v>
      </c>
      <c r="O59" s="116">
        <v>0</v>
      </c>
      <c r="Q59" s="99">
        <f t="shared" si="21"/>
        <v>0</v>
      </c>
      <c r="R59" s="99">
        <f t="shared" si="22"/>
        <v>0</v>
      </c>
      <c r="S59" s="99">
        <f t="shared" si="23"/>
        <v>0</v>
      </c>
      <c r="T59" s="99">
        <f t="shared" si="24"/>
        <v>0</v>
      </c>
      <c r="U59" s="99">
        <f t="shared" si="25"/>
        <v>0</v>
      </c>
      <c r="V59" s="99">
        <f t="shared" si="26"/>
        <v>0</v>
      </c>
      <c r="W59" s="99">
        <f t="shared" si="27"/>
        <v>0</v>
      </c>
      <c r="X59" s="99">
        <f t="shared" si="28"/>
        <v>0</v>
      </c>
      <c r="Y59" s="99">
        <f t="shared" si="29"/>
        <v>0</v>
      </c>
      <c r="Z59" s="99">
        <f t="shared" si="30"/>
        <v>0</v>
      </c>
      <c r="AA59" s="64">
        <f t="shared" si="10"/>
        <v>0</v>
      </c>
    </row>
    <row r="60" spans="1:27" ht="39" thickBot="1" x14ac:dyDescent="0.3">
      <c r="A60" s="658"/>
      <c r="B60" s="632" t="s">
        <v>477</v>
      </c>
      <c r="C60" s="95" t="s">
        <v>478</v>
      </c>
      <c r="D60" s="115">
        <v>0</v>
      </c>
      <c r="E60" s="115">
        <v>11</v>
      </c>
      <c r="F60" s="94">
        <v>0.1</v>
      </c>
      <c r="G60" s="94">
        <v>0.1</v>
      </c>
      <c r="H60" s="94">
        <v>0.1</v>
      </c>
      <c r="I60" s="94">
        <v>0.1</v>
      </c>
      <c r="J60" s="94">
        <v>0.1</v>
      </c>
      <c r="K60" s="94">
        <v>0.1</v>
      </c>
      <c r="L60" s="94">
        <v>0.1</v>
      </c>
      <c r="M60" s="94">
        <v>0.1</v>
      </c>
      <c r="N60" s="94">
        <v>0.1</v>
      </c>
      <c r="O60" s="94">
        <v>0.1</v>
      </c>
      <c r="Q60" s="99">
        <f t="shared" si="21"/>
        <v>0</v>
      </c>
      <c r="R60" s="99">
        <f t="shared" si="22"/>
        <v>0</v>
      </c>
      <c r="S60" s="99">
        <f t="shared" si="23"/>
        <v>0</v>
      </c>
      <c r="T60" s="99">
        <f t="shared" si="24"/>
        <v>0</v>
      </c>
      <c r="U60" s="99">
        <f t="shared" si="25"/>
        <v>0</v>
      </c>
      <c r="V60" s="99">
        <f t="shared" si="26"/>
        <v>0</v>
      </c>
      <c r="W60" s="99">
        <f t="shared" si="27"/>
        <v>0</v>
      </c>
      <c r="X60" s="99">
        <f t="shared" si="28"/>
        <v>0</v>
      </c>
      <c r="Y60" s="99">
        <f t="shared" si="29"/>
        <v>0</v>
      </c>
      <c r="Z60" s="99">
        <f t="shared" si="30"/>
        <v>0</v>
      </c>
      <c r="AA60" s="64">
        <f t="shared" si="10"/>
        <v>0</v>
      </c>
    </row>
    <row r="61" spans="1:27" ht="51.75" thickBot="1" x14ac:dyDescent="0.3">
      <c r="A61" s="658"/>
      <c r="B61" s="634"/>
      <c r="C61" s="95" t="s">
        <v>479</v>
      </c>
      <c r="D61" s="115">
        <v>0</v>
      </c>
      <c r="E61" s="115">
        <v>10</v>
      </c>
      <c r="F61" s="94">
        <v>0.1</v>
      </c>
      <c r="G61" s="94">
        <v>0.1</v>
      </c>
      <c r="H61" s="94">
        <v>0.1</v>
      </c>
      <c r="I61" s="94">
        <v>0.1</v>
      </c>
      <c r="J61" s="94">
        <v>0.1</v>
      </c>
      <c r="K61" s="94">
        <v>0.1</v>
      </c>
      <c r="L61" s="94">
        <v>0.1</v>
      </c>
      <c r="M61" s="94">
        <v>0.1</v>
      </c>
      <c r="N61" s="94">
        <v>0.1</v>
      </c>
      <c r="O61" s="94">
        <v>0.1</v>
      </c>
      <c r="Q61" s="99">
        <f t="shared" si="21"/>
        <v>0</v>
      </c>
      <c r="R61" s="99">
        <f t="shared" si="22"/>
        <v>0</v>
      </c>
      <c r="S61" s="99">
        <f t="shared" si="23"/>
        <v>0</v>
      </c>
      <c r="T61" s="99">
        <f t="shared" si="24"/>
        <v>0</v>
      </c>
      <c r="U61" s="99">
        <f t="shared" si="25"/>
        <v>0</v>
      </c>
      <c r="V61" s="99">
        <f t="shared" si="26"/>
        <v>0</v>
      </c>
      <c r="W61" s="99">
        <f t="shared" si="27"/>
        <v>0</v>
      </c>
      <c r="X61" s="99">
        <f t="shared" si="28"/>
        <v>0</v>
      </c>
      <c r="Y61" s="99">
        <f t="shared" si="29"/>
        <v>0</v>
      </c>
      <c r="Z61" s="99">
        <f t="shared" si="30"/>
        <v>0</v>
      </c>
      <c r="AA61" s="64">
        <f t="shared" si="10"/>
        <v>0</v>
      </c>
    </row>
    <row r="62" spans="1:27" ht="64.5" thickBot="1" x14ac:dyDescent="0.3">
      <c r="A62" s="658"/>
      <c r="B62" s="632" t="s">
        <v>480</v>
      </c>
      <c r="C62" s="86" t="s">
        <v>481</v>
      </c>
      <c r="D62" s="116">
        <v>0</v>
      </c>
      <c r="E62" s="116">
        <v>1</v>
      </c>
      <c r="F62" s="117">
        <v>0.3</v>
      </c>
      <c r="G62" s="117">
        <v>0.3</v>
      </c>
      <c r="H62" s="117">
        <v>0.4</v>
      </c>
      <c r="I62" s="117">
        <v>0</v>
      </c>
      <c r="J62" s="117">
        <v>0</v>
      </c>
      <c r="K62" s="117">
        <v>0</v>
      </c>
      <c r="L62" s="117">
        <v>0</v>
      </c>
      <c r="M62" s="117">
        <v>0</v>
      </c>
      <c r="N62" s="117">
        <v>0</v>
      </c>
      <c r="O62" s="117">
        <v>0</v>
      </c>
      <c r="Q62" s="99">
        <f t="shared" si="21"/>
        <v>0</v>
      </c>
      <c r="R62" s="99">
        <f t="shared" si="22"/>
        <v>0</v>
      </c>
      <c r="S62" s="99">
        <f t="shared" si="23"/>
        <v>0</v>
      </c>
      <c r="T62" s="99">
        <f t="shared" si="24"/>
        <v>0</v>
      </c>
      <c r="U62" s="99">
        <f t="shared" si="25"/>
        <v>0</v>
      </c>
      <c r="V62" s="99">
        <f t="shared" si="26"/>
        <v>0</v>
      </c>
      <c r="W62" s="99">
        <f t="shared" si="27"/>
        <v>0</v>
      </c>
      <c r="X62" s="99">
        <f t="shared" si="28"/>
        <v>0</v>
      </c>
      <c r="Y62" s="99">
        <f t="shared" si="29"/>
        <v>0</v>
      </c>
      <c r="Z62" s="99">
        <f t="shared" si="30"/>
        <v>0</v>
      </c>
      <c r="AA62" s="64">
        <f t="shared" si="10"/>
        <v>0</v>
      </c>
    </row>
    <row r="63" spans="1:27" ht="51.75" thickBot="1" x14ac:dyDescent="0.3">
      <c r="A63" s="658"/>
      <c r="B63" s="633"/>
      <c r="C63" s="86" t="s">
        <v>482</v>
      </c>
      <c r="D63" s="118">
        <v>0</v>
      </c>
      <c r="E63" s="118">
        <v>1</v>
      </c>
      <c r="F63" s="117">
        <v>0.5</v>
      </c>
      <c r="G63" s="117">
        <v>0.4</v>
      </c>
      <c r="H63" s="117">
        <v>0.1</v>
      </c>
      <c r="I63" s="117">
        <v>0</v>
      </c>
      <c r="J63" s="117">
        <v>0</v>
      </c>
      <c r="K63" s="117">
        <v>0</v>
      </c>
      <c r="L63" s="117">
        <v>0</v>
      </c>
      <c r="M63" s="117">
        <v>0</v>
      </c>
      <c r="N63" s="117">
        <v>0</v>
      </c>
      <c r="O63" s="117">
        <v>0</v>
      </c>
      <c r="Q63" s="99">
        <f t="shared" si="21"/>
        <v>0</v>
      </c>
      <c r="R63" s="99">
        <f t="shared" si="22"/>
        <v>0</v>
      </c>
      <c r="S63" s="99">
        <f t="shared" si="23"/>
        <v>0</v>
      </c>
      <c r="T63" s="99">
        <f t="shared" si="24"/>
        <v>0</v>
      </c>
      <c r="U63" s="99">
        <f t="shared" si="25"/>
        <v>0</v>
      </c>
      <c r="V63" s="99">
        <f t="shared" si="26"/>
        <v>0</v>
      </c>
      <c r="W63" s="99">
        <f t="shared" si="27"/>
        <v>0</v>
      </c>
      <c r="X63" s="99">
        <f t="shared" si="28"/>
        <v>0</v>
      </c>
      <c r="Y63" s="99">
        <f t="shared" si="29"/>
        <v>0</v>
      </c>
      <c r="Z63" s="99">
        <f t="shared" si="30"/>
        <v>0</v>
      </c>
      <c r="AA63" s="64">
        <f t="shared" si="10"/>
        <v>0</v>
      </c>
    </row>
    <row r="64" spans="1:27" ht="39" thickBot="1" x14ac:dyDescent="0.3">
      <c r="A64" s="658"/>
      <c r="B64" s="634"/>
      <c r="C64" s="86" t="s">
        <v>483</v>
      </c>
      <c r="D64" s="118">
        <v>0</v>
      </c>
      <c r="E64" s="118">
        <v>1</v>
      </c>
      <c r="F64" s="117">
        <v>0.5</v>
      </c>
      <c r="G64" s="117">
        <v>0.5</v>
      </c>
      <c r="H64" s="117">
        <v>0</v>
      </c>
      <c r="I64" s="117">
        <v>0</v>
      </c>
      <c r="J64" s="117">
        <v>0</v>
      </c>
      <c r="K64" s="117">
        <v>0</v>
      </c>
      <c r="L64" s="117">
        <v>0</v>
      </c>
      <c r="M64" s="117">
        <v>0</v>
      </c>
      <c r="N64" s="117">
        <v>0</v>
      </c>
      <c r="O64" s="117">
        <v>0</v>
      </c>
      <c r="Q64" s="99">
        <f t="shared" si="21"/>
        <v>0</v>
      </c>
      <c r="R64" s="99">
        <f t="shared" si="22"/>
        <v>0</v>
      </c>
      <c r="S64" s="99">
        <f t="shared" si="23"/>
        <v>0</v>
      </c>
      <c r="T64" s="99">
        <f t="shared" si="24"/>
        <v>0</v>
      </c>
      <c r="U64" s="99">
        <f t="shared" si="25"/>
        <v>0</v>
      </c>
      <c r="V64" s="99">
        <f t="shared" si="26"/>
        <v>0</v>
      </c>
      <c r="W64" s="99">
        <f t="shared" si="27"/>
        <v>0</v>
      </c>
      <c r="X64" s="99">
        <f t="shared" si="28"/>
        <v>0</v>
      </c>
      <c r="Y64" s="99">
        <f t="shared" si="29"/>
        <v>0</v>
      </c>
      <c r="Z64" s="99">
        <f t="shared" si="30"/>
        <v>0</v>
      </c>
      <c r="AA64" s="64">
        <f t="shared" si="10"/>
        <v>0</v>
      </c>
    </row>
    <row r="65" spans="1:27" ht="51.75" thickBot="1" x14ac:dyDescent="0.3">
      <c r="A65" s="658"/>
      <c r="B65" s="632" t="s">
        <v>484</v>
      </c>
      <c r="C65" s="95" t="s">
        <v>485</v>
      </c>
      <c r="D65" s="119">
        <v>0</v>
      </c>
      <c r="E65" s="120">
        <v>10</v>
      </c>
      <c r="F65" s="94">
        <v>0.1</v>
      </c>
      <c r="G65" s="94">
        <v>0.1</v>
      </c>
      <c r="H65" s="94">
        <v>0.1</v>
      </c>
      <c r="I65" s="94">
        <v>0.1</v>
      </c>
      <c r="J65" s="94">
        <v>0.1</v>
      </c>
      <c r="K65" s="94">
        <v>0.1</v>
      </c>
      <c r="L65" s="94">
        <v>0.1</v>
      </c>
      <c r="M65" s="94">
        <v>0.1</v>
      </c>
      <c r="N65" s="94">
        <v>0.1</v>
      </c>
      <c r="O65" s="94">
        <v>0.1</v>
      </c>
      <c r="Q65" s="99">
        <f t="shared" si="21"/>
        <v>0</v>
      </c>
      <c r="R65" s="99">
        <f t="shared" si="22"/>
        <v>0</v>
      </c>
      <c r="S65" s="99">
        <f t="shared" si="23"/>
        <v>0</v>
      </c>
      <c r="T65" s="99">
        <f t="shared" si="24"/>
        <v>0</v>
      </c>
      <c r="U65" s="99">
        <f t="shared" si="25"/>
        <v>0</v>
      </c>
      <c r="V65" s="99">
        <f t="shared" si="26"/>
        <v>0</v>
      </c>
      <c r="W65" s="99">
        <f t="shared" si="27"/>
        <v>0</v>
      </c>
      <c r="X65" s="99">
        <f t="shared" si="28"/>
        <v>0</v>
      </c>
      <c r="Y65" s="99">
        <f t="shared" si="29"/>
        <v>0</v>
      </c>
      <c r="Z65" s="99">
        <f t="shared" si="30"/>
        <v>0</v>
      </c>
      <c r="AA65" s="64">
        <f t="shared" si="10"/>
        <v>0</v>
      </c>
    </row>
    <row r="66" spans="1:27" ht="64.5" thickBot="1" x14ac:dyDescent="0.3">
      <c r="A66" s="658"/>
      <c r="B66" s="634"/>
      <c r="C66" s="95" t="s">
        <v>486</v>
      </c>
      <c r="D66" s="115">
        <v>0</v>
      </c>
      <c r="E66" s="115">
        <v>10</v>
      </c>
      <c r="F66" s="94">
        <v>0.1</v>
      </c>
      <c r="G66" s="94">
        <v>0.1</v>
      </c>
      <c r="H66" s="94">
        <v>0.1</v>
      </c>
      <c r="I66" s="94">
        <v>0.1</v>
      </c>
      <c r="J66" s="94">
        <v>0.1</v>
      </c>
      <c r="K66" s="94">
        <v>0.1</v>
      </c>
      <c r="L66" s="94">
        <v>0.1</v>
      </c>
      <c r="M66" s="94">
        <v>0.1</v>
      </c>
      <c r="N66" s="94">
        <v>0.1</v>
      </c>
      <c r="O66" s="94">
        <v>0.1</v>
      </c>
      <c r="Q66" s="99">
        <f t="shared" si="21"/>
        <v>0</v>
      </c>
      <c r="R66" s="99">
        <f t="shared" si="22"/>
        <v>0</v>
      </c>
      <c r="S66" s="99">
        <f t="shared" si="23"/>
        <v>0</v>
      </c>
      <c r="T66" s="99">
        <f t="shared" si="24"/>
        <v>0</v>
      </c>
      <c r="U66" s="99">
        <f t="shared" si="25"/>
        <v>0</v>
      </c>
      <c r="V66" s="99">
        <f t="shared" si="26"/>
        <v>0</v>
      </c>
      <c r="W66" s="99">
        <f t="shared" si="27"/>
        <v>0</v>
      </c>
      <c r="X66" s="99">
        <f t="shared" si="28"/>
        <v>0</v>
      </c>
      <c r="Y66" s="99">
        <f t="shared" si="29"/>
        <v>0</v>
      </c>
      <c r="Z66" s="99">
        <f t="shared" si="30"/>
        <v>0</v>
      </c>
      <c r="AA66" s="64">
        <f t="shared" si="10"/>
        <v>0</v>
      </c>
    </row>
    <row r="67" spans="1:27" ht="26.25" thickBot="1" x14ac:dyDescent="0.3">
      <c r="A67" s="658"/>
      <c r="B67" s="632" t="s">
        <v>487</v>
      </c>
      <c r="C67" s="86" t="s">
        <v>488</v>
      </c>
      <c r="D67" s="94">
        <v>0</v>
      </c>
      <c r="E67" s="117">
        <v>1</v>
      </c>
      <c r="F67" s="117">
        <v>0.25</v>
      </c>
      <c r="G67" s="117">
        <v>0.15</v>
      </c>
      <c r="H67" s="117">
        <v>0.15</v>
      </c>
      <c r="I67" s="117">
        <v>0.15</v>
      </c>
      <c r="J67" s="117">
        <v>0.15</v>
      </c>
      <c r="K67" s="117">
        <v>0.15</v>
      </c>
      <c r="L67" s="117">
        <v>0</v>
      </c>
      <c r="M67" s="117">
        <v>0</v>
      </c>
      <c r="N67" s="117">
        <v>0</v>
      </c>
      <c r="O67" s="117">
        <v>0</v>
      </c>
      <c r="Q67" s="99">
        <f t="shared" si="21"/>
        <v>0</v>
      </c>
      <c r="R67" s="99">
        <f t="shared" si="22"/>
        <v>0</v>
      </c>
      <c r="S67" s="99">
        <f t="shared" si="23"/>
        <v>0</v>
      </c>
      <c r="T67" s="99">
        <f t="shared" si="24"/>
        <v>0</v>
      </c>
      <c r="U67" s="99">
        <f t="shared" si="25"/>
        <v>0</v>
      </c>
      <c r="V67" s="99">
        <f t="shared" si="26"/>
        <v>0</v>
      </c>
      <c r="W67" s="99">
        <f t="shared" si="27"/>
        <v>0</v>
      </c>
      <c r="X67" s="99">
        <f t="shared" si="28"/>
        <v>0</v>
      </c>
      <c r="Y67" s="99">
        <f t="shared" si="29"/>
        <v>0</v>
      </c>
      <c r="Z67" s="99">
        <f t="shared" si="30"/>
        <v>0</v>
      </c>
      <c r="AA67" s="64">
        <f t="shared" si="10"/>
        <v>0</v>
      </c>
    </row>
    <row r="68" spans="1:27" ht="51.75" thickBot="1" x14ac:dyDescent="0.3">
      <c r="A68" s="658"/>
      <c r="B68" s="633"/>
      <c r="C68" s="86" t="s">
        <v>489</v>
      </c>
      <c r="D68" s="117">
        <v>0.1</v>
      </c>
      <c r="E68" s="121" t="s">
        <v>490</v>
      </c>
      <c r="F68" s="117">
        <v>0.15</v>
      </c>
      <c r="G68" s="117">
        <v>0.15</v>
      </c>
      <c r="H68" s="117">
        <v>0.15</v>
      </c>
      <c r="I68" s="117">
        <v>0.15</v>
      </c>
      <c r="J68" s="117">
        <v>0.1</v>
      </c>
      <c r="K68" s="117">
        <v>0.1</v>
      </c>
      <c r="L68" s="117">
        <v>0.1</v>
      </c>
      <c r="M68" s="117">
        <v>0</v>
      </c>
      <c r="N68" s="117">
        <v>0</v>
      </c>
      <c r="O68" s="117">
        <v>0</v>
      </c>
      <c r="Q68" s="99">
        <f t="shared" si="21"/>
        <v>0.1</v>
      </c>
      <c r="R68" s="99">
        <f t="shared" si="22"/>
        <v>1.4999999999999999E-2</v>
      </c>
      <c r="S68" s="99">
        <f t="shared" si="23"/>
        <v>1.4999999999999999E-2</v>
      </c>
      <c r="T68" s="99">
        <f t="shared" si="24"/>
        <v>1.4999999999999999E-2</v>
      </c>
      <c r="U68" s="99">
        <f t="shared" si="25"/>
        <v>1.0000000000000002E-2</v>
      </c>
      <c r="V68" s="99">
        <f t="shared" si="26"/>
        <v>1.0000000000000002E-2</v>
      </c>
      <c r="W68" s="99">
        <f t="shared" si="27"/>
        <v>1.0000000000000002E-2</v>
      </c>
      <c r="X68" s="99">
        <f t="shared" si="28"/>
        <v>0</v>
      </c>
      <c r="Y68" s="99">
        <f t="shared" si="29"/>
        <v>0</v>
      </c>
      <c r="Z68" s="99">
        <f t="shared" si="30"/>
        <v>0</v>
      </c>
      <c r="AA68" s="64">
        <f t="shared" si="10"/>
        <v>0.17500000000000004</v>
      </c>
    </row>
    <row r="69" spans="1:27" ht="15.75" thickBot="1" x14ac:dyDescent="0.3">
      <c r="A69" s="658"/>
      <c r="B69" s="633"/>
      <c r="C69" s="86" t="s">
        <v>491</v>
      </c>
      <c r="D69" s="117">
        <v>0.1</v>
      </c>
      <c r="E69" s="117">
        <v>1</v>
      </c>
      <c r="F69" s="117">
        <v>0.45</v>
      </c>
      <c r="G69" s="117">
        <v>0.45</v>
      </c>
      <c r="H69" s="117">
        <v>0</v>
      </c>
      <c r="I69" s="117">
        <v>0</v>
      </c>
      <c r="J69" s="117">
        <v>0</v>
      </c>
      <c r="K69" s="117">
        <v>0</v>
      </c>
      <c r="L69" s="117">
        <v>0</v>
      </c>
      <c r="M69" s="117">
        <v>0</v>
      </c>
      <c r="N69" s="117">
        <v>0</v>
      </c>
      <c r="O69" s="117">
        <v>0</v>
      </c>
      <c r="Q69" s="99">
        <f t="shared" si="21"/>
        <v>0.1</v>
      </c>
      <c r="R69" s="99">
        <f t="shared" si="22"/>
        <v>4.5000000000000005E-2</v>
      </c>
      <c r="S69" s="99">
        <f t="shared" si="23"/>
        <v>0</v>
      </c>
      <c r="T69" s="99">
        <f t="shared" si="24"/>
        <v>0</v>
      </c>
      <c r="U69" s="99">
        <f t="shared" si="25"/>
        <v>0</v>
      </c>
      <c r="V69" s="99">
        <f t="shared" si="26"/>
        <v>0</v>
      </c>
      <c r="W69" s="99">
        <f t="shared" si="27"/>
        <v>0</v>
      </c>
      <c r="X69" s="99">
        <f t="shared" si="28"/>
        <v>0</v>
      </c>
      <c r="Y69" s="99">
        <f t="shared" si="29"/>
        <v>0</v>
      </c>
      <c r="Z69" s="99">
        <f t="shared" si="30"/>
        <v>0</v>
      </c>
      <c r="AA69" s="64">
        <f t="shared" ref="AA69:AA97" si="31">SUM(Q69:Z69)</f>
        <v>0.14500000000000002</v>
      </c>
    </row>
    <row r="70" spans="1:27" ht="26.25" thickBot="1" x14ac:dyDescent="0.3">
      <c r="A70" s="659"/>
      <c r="B70" s="634"/>
      <c r="C70" s="86" t="s">
        <v>492</v>
      </c>
      <c r="D70" s="117">
        <v>0.5</v>
      </c>
      <c r="E70" s="117">
        <v>1</v>
      </c>
      <c r="F70" s="117">
        <v>0.05</v>
      </c>
      <c r="G70" s="117">
        <v>0.05</v>
      </c>
      <c r="H70" s="117">
        <v>0.05</v>
      </c>
      <c r="I70" s="117">
        <v>0.05</v>
      </c>
      <c r="J70" s="117">
        <v>0.05</v>
      </c>
      <c r="K70" s="117">
        <v>0.05</v>
      </c>
      <c r="L70" s="117">
        <v>0.05</v>
      </c>
      <c r="M70" s="117">
        <v>0.05</v>
      </c>
      <c r="N70" s="117">
        <v>0.05</v>
      </c>
      <c r="O70" s="117">
        <v>0.05</v>
      </c>
      <c r="Q70" s="99">
        <f t="shared" si="21"/>
        <v>0.5</v>
      </c>
      <c r="R70" s="99">
        <f t="shared" si="22"/>
        <v>2.5000000000000001E-2</v>
      </c>
      <c r="S70" s="99">
        <f t="shared" si="23"/>
        <v>2.5000000000000001E-2</v>
      </c>
      <c r="T70" s="99">
        <f t="shared" si="24"/>
        <v>2.5000000000000001E-2</v>
      </c>
      <c r="U70" s="99">
        <f t="shared" si="25"/>
        <v>2.5000000000000001E-2</v>
      </c>
      <c r="V70" s="99">
        <f t="shared" si="26"/>
        <v>2.5000000000000001E-2</v>
      </c>
      <c r="W70" s="99">
        <f t="shared" si="27"/>
        <v>2.5000000000000001E-2</v>
      </c>
      <c r="X70" s="99">
        <f t="shared" si="28"/>
        <v>2.5000000000000001E-2</v>
      </c>
      <c r="Y70" s="99">
        <f t="shared" si="29"/>
        <v>2.5000000000000001E-2</v>
      </c>
      <c r="Z70" s="99">
        <f t="shared" si="30"/>
        <v>2.5000000000000001E-2</v>
      </c>
      <c r="AA70" s="64">
        <f t="shared" si="31"/>
        <v>0.7250000000000002</v>
      </c>
    </row>
    <row r="71" spans="1:27" ht="15.75" thickBot="1" x14ac:dyDescent="0.3">
      <c r="AA71" s="64"/>
    </row>
    <row r="72" spans="1:27" ht="15.75" thickBot="1" x14ac:dyDescent="0.3">
      <c r="A72" s="647" t="s">
        <v>426</v>
      </c>
      <c r="B72" s="647" t="s">
        <v>401</v>
      </c>
      <c r="C72" s="649" t="s">
        <v>402</v>
      </c>
      <c r="D72" s="647" t="s">
        <v>403</v>
      </c>
      <c r="E72" s="647" t="s">
        <v>404</v>
      </c>
      <c r="F72" s="641" t="s">
        <v>405</v>
      </c>
      <c r="G72" s="642"/>
      <c r="H72" s="642"/>
      <c r="I72" s="642"/>
      <c r="J72" s="642"/>
      <c r="K72" s="642"/>
      <c r="L72" s="642"/>
      <c r="M72" s="642"/>
      <c r="N72" s="642"/>
      <c r="O72" s="643"/>
      <c r="Q72" s="641" t="s">
        <v>405</v>
      </c>
      <c r="R72" s="642"/>
      <c r="S72" s="642"/>
      <c r="T72" s="642"/>
      <c r="U72" s="642"/>
      <c r="V72" s="642"/>
      <c r="W72" s="642"/>
      <c r="X72" s="642"/>
      <c r="Y72" s="642"/>
      <c r="Z72" s="643"/>
      <c r="AA72" s="64"/>
    </row>
    <row r="73" spans="1:27" ht="15.75" thickBot="1" x14ac:dyDescent="0.3">
      <c r="A73" s="648"/>
      <c r="B73" s="648"/>
      <c r="C73" s="650"/>
      <c r="D73" s="648"/>
      <c r="E73" s="648"/>
      <c r="F73" s="122">
        <v>2015</v>
      </c>
      <c r="G73" s="122">
        <v>2016</v>
      </c>
      <c r="H73" s="122">
        <v>2017</v>
      </c>
      <c r="I73" s="122">
        <v>2018</v>
      </c>
      <c r="J73" s="122">
        <v>2019</v>
      </c>
      <c r="K73" s="122">
        <v>2020</v>
      </c>
      <c r="L73" s="122">
        <v>2021</v>
      </c>
      <c r="M73" s="122">
        <v>2022</v>
      </c>
      <c r="N73" s="122">
        <v>2023</v>
      </c>
      <c r="O73" s="122">
        <v>2024</v>
      </c>
      <c r="Q73" s="122">
        <v>2015</v>
      </c>
      <c r="R73" s="122">
        <v>2016</v>
      </c>
      <c r="S73" s="122">
        <v>2017</v>
      </c>
      <c r="T73" s="122">
        <v>2018</v>
      </c>
      <c r="U73" s="122">
        <v>2019</v>
      </c>
      <c r="V73" s="122">
        <v>2020</v>
      </c>
      <c r="W73" s="122">
        <v>2021</v>
      </c>
      <c r="X73" s="122">
        <v>2022</v>
      </c>
      <c r="Y73" s="122">
        <v>2023</v>
      </c>
      <c r="Z73" s="122">
        <v>2024</v>
      </c>
      <c r="AA73" s="64"/>
    </row>
    <row r="74" spans="1:27" ht="15.75" thickBot="1" x14ac:dyDescent="0.3">
      <c r="A74" s="644" t="s">
        <v>493</v>
      </c>
      <c r="B74" s="632" t="s">
        <v>494</v>
      </c>
      <c r="C74" s="86" t="s">
        <v>495</v>
      </c>
      <c r="D74" s="123">
        <v>1215</v>
      </c>
      <c r="E74" s="123">
        <v>1635</v>
      </c>
      <c r="F74" s="124">
        <v>0.03</v>
      </c>
      <c r="G74" s="124">
        <v>0.03</v>
      </c>
      <c r="H74" s="124">
        <v>0.03</v>
      </c>
      <c r="I74" s="124">
        <v>0.03</v>
      </c>
      <c r="J74" s="124">
        <v>0.03</v>
      </c>
      <c r="K74" s="124">
        <v>0.03</v>
      </c>
      <c r="L74" s="124">
        <v>0.04</v>
      </c>
      <c r="M74" s="124">
        <v>0.04</v>
      </c>
      <c r="N74" s="124">
        <v>0.04</v>
      </c>
      <c r="O74" s="124">
        <v>0.04</v>
      </c>
      <c r="Q74" s="99">
        <f>D74</f>
        <v>1215</v>
      </c>
      <c r="R74" s="99">
        <f>D74*G74+D74</f>
        <v>1251.45</v>
      </c>
      <c r="S74" s="99">
        <f>D74*H74</f>
        <v>36.449999999999996</v>
      </c>
      <c r="T74" s="99">
        <f>D74*I74</f>
        <v>36.449999999999996</v>
      </c>
      <c r="U74" s="99">
        <f>D74*J74</f>
        <v>36.449999999999996</v>
      </c>
      <c r="V74" s="99">
        <f>D74*K74</f>
        <v>36.449999999999996</v>
      </c>
      <c r="W74" s="99">
        <f>D74*L74</f>
        <v>48.6</v>
      </c>
      <c r="X74" s="99">
        <f>D74*M74</f>
        <v>48.6</v>
      </c>
      <c r="Y74" s="99">
        <f>D74*N74</f>
        <v>48.6</v>
      </c>
      <c r="Z74" s="99">
        <f>D74*O74</f>
        <v>48.6</v>
      </c>
      <c r="AA74" s="64">
        <f t="shared" si="31"/>
        <v>2806.6499999999987</v>
      </c>
    </row>
    <row r="75" spans="1:27" ht="15.75" thickBot="1" x14ac:dyDescent="0.3">
      <c r="A75" s="645"/>
      <c r="B75" s="633"/>
      <c r="C75" s="86" t="s">
        <v>496</v>
      </c>
      <c r="D75" s="123">
        <v>803</v>
      </c>
      <c r="E75" s="123">
        <v>1079</v>
      </c>
      <c r="F75" s="124">
        <v>0.03</v>
      </c>
      <c r="G75" s="124">
        <v>0.03</v>
      </c>
      <c r="H75" s="124">
        <v>0.03</v>
      </c>
      <c r="I75" s="124">
        <v>0.03</v>
      </c>
      <c r="J75" s="124">
        <v>0.03</v>
      </c>
      <c r="K75" s="124">
        <v>0.03</v>
      </c>
      <c r="L75" s="124">
        <v>0.04</v>
      </c>
      <c r="M75" s="124">
        <v>0.04</v>
      </c>
      <c r="N75" s="124">
        <v>0.04</v>
      </c>
      <c r="O75" s="124">
        <v>0.04</v>
      </c>
      <c r="Q75" s="99">
        <f t="shared" ref="Q75:Q97" si="32">D75</f>
        <v>803</v>
      </c>
      <c r="R75" s="99">
        <f t="shared" ref="R75:R97" si="33">D75*G75</f>
        <v>24.09</v>
      </c>
      <c r="S75" s="99">
        <f t="shared" ref="S75:S97" si="34">D75*H75</f>
        <v>24.09</v>
      </c>
      <c r="T75" s="99">
        <f t="shared" ref="T75:T97" si="35">D75*I75</f>
        <v>24.09</v>
      </c>
      <c r="U75" s="99">
        <f t="shared" ref="U75:U97" si="36">D75*J75</f>
        <v>24.09</v>
      </c>
      <c r="V75" s="99">
        <f t="shared" ref="V75:V97" si="37">D75*K75</f>
        <v>24.09</v>
      </c>
      <c r="W75" s="99">
        <f t="shared" ref="W75:W97" si="38">D75*L75</f>
        <v>32.119999999999997</v>
      </c>
      <c r="X75" s="99">
        <f t="shared" ref="X75:X97" si="39">D75*M75</f>
        <v>32.119999999999997</v>
      </c>
      <c r="Y75" s="99">
        <f t="shared" ref="Y75:Y97" si="40">D75*N75</f>
        <v>32.119999999999997</v>
      </c>
      <c r="Z75" s="99">
        <f t="shared" ref="Z75:Z97" si="41">D75*O75</f>
        <v>32.119999999999997</v>
      </c>
      <c r="AA75" s="64">
        <f t="shared" si="31"/>
        <v>1051.93</v>
      </c>
    </row>
    <row r="76" spans="1:27" ht="15.75" thickBot="1" x14ac:dyDescent="0.3">
      <c r="A76" s="645"/>
      <c r="B76" s="633"/>
      <c r="C76" s="86" t="s">
        <v>497</v>
      </c>
      <c r="D76" s="123">
        <v>814</v>
      </c>
      <c r="E76" s="123">
        <v>1094</v>
      </c>
      <c r="F76" s="124">
        <v>0.03</v>
      </c>
      <c r="G76" s="124">
        <v>0.03</v>
      </c>
      <c r="H76" s="124">
        <v>0.03</v>
      </c>
      <c r="I76" s="124">
        <v>0.03</v>
      </c>
      <c r="J76" s="124">
        <v>0.03</v>
      </c>
      <c r="K76" s="124">
        <v>0.03</v>
      </c>
      <c r="L76" s="124">
        <v>0.04</v>
      </c>
      <c r="M76" s="124">
        <v>0.04</v>
      </c>
      <c r="N76" s="124">
        <v>0.04</v>
      </c>
      <c r="O76" s="124">
        <v>0.04</v>
      </c>
      <c r="Q76" s="99">
        <f t="shared" si="32"/>
        <v>814</v>
      </c>
      <c r="R76" s="99">
        <f t="shared" si="33"/>
        <v>24.419999999999998</v>
      </c>
      <c r="S76" s="99">
        <f t="shared" si="34"/>
        <v>24.419999999999998</v>
      </c>
      <c r="T76" s="99">
        <f t="shared" si="35"/>
        <v>24.419999999999998</v>
      </c>
      <c r="U76" s="99">
        <f t="shared" si="36"/>
        <v>24.419999999999998</v>
      </c>
      <c r="V76" s="99">
        <f t="shared" si="37"/>
        <v>24.419999999999998</v>
      </c>
      <c r="W76" s="99">
        <f t="shared" si="38"/>
        <v>32.56</v>
      </c>
      <c r="X76" s="99">
        <f t="shared" si="39"/>
        <v>32.56</v>
      </c>
      <c r="Y76" s="99">
        <f t="shared" si="40"/>
        <v>32.56</v>
      </c>
      <c r="Z76" s="99">
        <f t="shared" si="41"/>
        <v>32.56</v>
      </c>
      <c r="AA76" s="64">
        <f t="shared" si="31"/>
        <v>1066.3399999999997</v>
      </c>
    </row>
    <row r="77" spans="1:27" ht="26.25" thickBot="1" x14ac:dyDescent="0.3">
      <c r="A77" s="645"/>
      <c r="B77" s="633"/>
      <c r="C77" s="86" t="s">
        <v>498</v>
      </c>
      <c r="D77" s="123">
        <v>1180</v>
      </c>
      <c r="E77" s="123">
        <v>1586</v>
      </c>
      <c r="F77" s="124">
        <v>0.03</v>
      </c>
      <c r="G77" s="124">
        <v>0.03</v>
      </c>
      <c r="H77" s="124">
        <v>0.03</v>
      </c>
      <c r="I77" s="124">
        <v>0.03</v>
      </c>
      <c r="J77" s="124">
        <v>0.03</v>
      </c>
      <c r="K77" s="124">
        <v>0.03</v>
      </c>
      <c r="L77" s="124">
        <v>0.04</v>
      </c>
      <c r="M77" s="124">
        <v>0.04</v>
      </c>
      <c r="N77" s="124">
        <v>0.04</v>
      </c>
      <c r="O77" s="124">
        <v>0.04</v>
      </c>
      <c r="Q77" s="99">
        <f t="shared" si="32"/>
        <v>1180</v>
      </c>
      <c r="R77" s="99">
        <f t="shared" si="33"/>
        <v>35.4</v>
      </c>
      <c r="S77" s="99">
        <f t="shared" si="34"/>
        <v>35.4</v>
      </c>
      <c r="T77" s="99">
        <f t="shared" si="35"/>
        <v>35.4</v>
      </c>
      <c r="U77" s="99">
        <f t="shared" si="36"/>
        <v>35.4</v>
      </c>
      <c r="V77" s="99">
        <f t="shared" si="37"/>
        <v>35.4</v>
      </c>
      <c r="W77" s="99">
        <f t="shared" si="38"/>
        <v>47.2</v>
      </c>
      <c r="X77" s="99">
        <f t="shared" si="39"/>
        <v>47.2</v>
      </c>
      <c r="Y77" s="99">
        <f t="shared" si="40"/>
        <v>47.2</v>
      </c>
      <c r="Z77" s="99">
        <f t="shared" si="41"/>
        <v>47.2</v>
      </c>
      <c r="AA77" s="64">
        <f t="shared" si="31"/>
        <v>1545.8000000000006</v>
      </c>
    </row>
    <row r="78" spans="1:27" ht="15.75" thickBot="1" x14ac:dyDescent="0.3">
      <c r="A78" s="645"/>
      <c r="B78" s="633"/>
      <c r="C78" s="86" t="s">
        <v>499</v>
      </c>
      <c r="D78" s="123">
        <v>500</v>
      </c>
      <c r="E78" s="123">
        <v>672</v>
      </c>
      <c r="F78" s="124">
        <v>0.03</v>
      </c>
      <c r="G78" s="124">
        <v>0.03</v>
      </c>
      <c r="H78" s="124">
        <v>0.03</v>
      </c>
      <c r="I78" s="124">
        <v>0.03</v>
      </c>
      <c r="J78" s="124">
        <v>0.03</v>
      </c>
      <c r="K78" s="124">
        <v>0.03</v>
      </c>
      <c r="L78" s="124">
        <v>0.04</v>
      </c>
      <c r="M78" s="124">
        <v>0.04</v>
      </c>
      <c r="N78" s="124">
        <v>0.04</v>
      </c>
      <c r="O78" s="124">
        <v>0.04</v>
      </c>
      <c r="Q78" s="99">
        <f t="shared" si="32"/>
        <v>500</v>
      </c>
      <c r="R78" s="99">
        <f t="shared" si="33"/>
        <v>15</v>
      </c>
      <c r="S78" s="99">
        <f t="shared" si="34"/>
        <v>15</v>
      </c>
      <c r="T78" s="99">
        <f t="shared" si="35"/>
        <v>15</v>
      </c>
      <c r="U78" s="99">
        <f t="shared" si="36"/>
        <v>15</v>
      </c>
      <c r="V78" s="99">
        <f t="shared" si="37"/>
        <v>15</v>
      </c>
      <c r="W78" s="99">
        <f t="shared" si="38"/>
        <v>20</v>
      </c>
      <c r="X78" s="99">
        <f t="shared" si="39"/>
        <v>20</v>
      </c>
      <c r="Y78" s="99">
        <f t="shared" si="40"/>
        <v>20</v>
      </c>
      <c r="Z78" s="99">
        <f t="shared" si="41"/>
        <v>20</v>
      </c>
      <c r="AA78" s="64">
        <f t="shared" si="31"/>
        <v>655</v>
      </c>
    </row>
    <row r="79" spans="1:27" ht="15.75" thickBot="1" x14ac:dyDescent="0.3">
      <c r="A79" s="645"/>
      <c r="B79" s="634"/>
      <c r="C79" s="86" t="s">
        <v>500</v>
      </c>
      <c r="D79" s="123">
        <v>2635</v>
      </c>
      <c r="E79" s="123">
        <v>3541</v>
      </c>
      <c r="F79" s="124">
        <v>0.03</v>
      </c>
      <c r="G79" s="124">
        <v>0.03</v>
      </c>
      <c r="H79" s="124">
        <v>0.03</v>
      </c>
      <c r="I79" s="124">
        <v>0.03</v>
      </c>
      <c r="J79" s="124">
        <v>0.03</v>
      </c>
      <c r="K79" s="124">
        <v>0.03</v>
      </c>
      <c r="L79" s="124">
        <v>0.04</v>
      </c>
      <c r="M79" s="124">
        <v>0.04</v>
      </c>
      <c r="N79" s="124">
        <v>0.04</v>
      </c>
      <c r="O79" s="124">
        <v>0.04</v>
      </c>
      <c r="Q79" s="99">
        <f t="shared" si="32"/>
        <v>2635</v>
      </c>
      <c r="R79" s="99">
        <f t="shared" si="33"/>
        <v>79.05</v>
      </c>
      <c r="S79" s="99">
        <f t="shared" si="34"/>
        <v>79.05</v>
      </c>
      <c r="T79" s="99">
        <f t="shared" si="35"/>
        <v>79.05</v>
      </c>
      <c r="U79" s="99">
        <f t="shared" si="36"/>
        <v>79.05</v>
      </c>
      <c r="V79" s="99">
        <f t="shared" si="37"/>
        <v>79.05</v>
      </c>
      <c r="W79" s="99">
        <f t="shared" si="38"/>
        <v>105.4</v>
      </c>
      <c r="X79" s="99">
        <f t="shared" si="39"/>
        <v>105.4</v>
      </c>
      <c r="Y79" s="99">
        <f t="shared" si="40"/>
        <v>105.4</v>
      </c>
      <c r="Z79" s="99">
        <f t="shared" si="41"/>
        <v>105.4</v>
      </c>
      <c r="AA79" s="64">
        <f t="shared" si="31"/>
        <v>3451.8500000000013</v>
      </c>
    </row>
    <row r="80" spans="1:27" ht="26.25" thickBot="1" x14ac:dyDescent="0.3">
      <c r="A80" s="645"/>
      <c r="B80" s="632" t="s">
        <v>501</v>
      </c>
      <c r="C80" s="86" t="s">
        <v>502</v>
      </c>
      <c r="D80" s="123">
        <v>11306</v>
      </c>
      <c r="E80" s="123">
        <v>15194</v>
      </c>
      <c r="F80" s="124">
        <v>0.03</v>
      </c>
      <c r="G80" s="124">
        <v>0.03</v>
      </c>
      <c r="H80" s="124">
        <v>0.03</v>
      </c>
      <c r="I80" s="124">
        <v>0.03</v>
      </c>
      <c r="J80" s="124">
        <v>0.03</v>
      </c>
      <c r="K80" s="124">
        <v>0.03</v>
      </c>
      <c r="L80" s="124">
        <v>0.04</v>
      </c>
      <c r="M80" s="124">
        <v>0.04</v>
      </c>
      <c r="N80" s="124">
        <v>0.04</v>
      </c>
      <c r="O80" s="124">
        <v>0.04</v>
      </c>
      <c r="Q80" s="99">
        <f t="shared" si="32"/>
        <v>11306</v>
      </c>
      <c r="R80" s="99">
        <f t="shared" si="33"/>
        <v>339.18</v>
      </c>
      <c r="S80" s="99">
        <f t="shared" si="34"/>
        <v>339.18</v>
      </c>
      <c r="T80" s="99">
        <f t="shared" si="35"/>
        <v>339.18</v>
      </c>
      <c r="U80" s="99">
        <f t="shared" si="36"/>
        <v>339.18</v>
      </c>
      <c r="V80" s="99">
        <f t="shared" si="37"/>
        <v>339.18</v>
      </c>
      <c r="W80" s="99">
        <f t="shared" si="38"/>
        <v>452.24</v>
      </c>
      <c r="X80" s="99">
        <f t="shared" si="39"/>
        <v>452.24</v>
      </c>
      <c r="Y80" s="99">
        <f t="shared" si="40"/>
        <v>452.24</v>
      </c>
      <c r="Z80" s="99">
        <f t="shared" si="41"/>
        <v>452.24</v>
      </c>
      <c r="AA80" s="64">
        <f t="shared" si="31"/>
        <v>14810.86</v>
      </c>
    </row>
    <row r="81" spans="1:27" ht="26.25" thickBot="1" x14ac:dyDescent="0.3">
      <c r="A81" s="645"/>
      <c r="B81" s="633"/>
      <c r="C81" s="86" t="s">
        <v>503</v>
      </c>
      <c r="D81" s="123">
        <v>9078</v>
      </c>
      <c r="E81" s="123">
        <v>12234</v>
      </c>
      <c r="F81" s="124">
        <v>0.03</v>
      </c>
      <c r="G81" s="124">
        <v>0.03</v>
      </c>
      <c r="H81" s="124">
        <v>0.03</v>
      </c>
      <c r="I81" s="124">
        <v>0.03</v>
      </c>
      <c r="J81" s="124">
        <v>0.03</v>
      </c>
      <c r="K81" s="124">
        <v>0.03</v>
      </c>
      <c r="L81" s="124">
        <v>0.03</v>
      </c>
      <c r="M81" s="124">
        <v>0.04</v>
      </c>
      <c r="N81" s="124">
        <v>0.04</v>
      </c>
      <c r="O81" s="124">
        <v>0.04</v>
      </c>
      <c r="Q81" s="99">
        <f t="shared" si="32"/>
        <v>9078</v>
      </c>
      <c r="R81" s="99">
        <f t="shared" si="33"/>
        <v>272.33999999999997</v>
      </c>
      <c r="S81" s="99">
        <f t="shared" si="34"/>
        <v>272.33999999999997</v>
      </c>
      <c r="T81" s="99">
        <f t="shared" si="35"/>
        <v>272.33999999999997</v>
      </c>
      <c r="U81" s="99">
        <f t="shared" si="36"/>
        <v>272.33999999999997</v>
      </c>
      <c r="V81" s="99">
        <f t="shared" si="37"/>
        <v>272.33999999999997</v>
      </c>
      <c r="W81" s="99">
        <f t="shared" si="38"/>
        <v>272.33999999999997</v>
      </c>
      <c r="X81" s="99">
        <f t="shared" si="39"/>
        <v>363.12</v>
      </c>
      <c r="Y81" s="99">
        <f t="shared" si="40"/>
        <v>363.12</v>
      </c>
      <c r="Z81" s="99">
        <f t="shared" si="41"/>
        <v>363.12</v>
      </c>
      <c r="AA81" s="64">
        <f t="shared" si="31"/>
        <v>11801.400000000003</v>
      </c>
    </row>
    <row r="82" spans="1:27" ht="15.75" thickBot="1" x14ac:dyDescent="0.3">
      <c r="A82" s="645"/>
      <c r="B82" s="634"/>
      <c r="C82" s="86" t="s">
        <v>504</v>
      </c>
      <c r="D82" s="123">
        <v>199</v>
      </c>
      <c r="E82" s="123">
        <v>267</v>
      </c>
      <c r="F82" s="124">
        <v>0.03</v>
      </c>
      <c r="G82" s="124">
        <v>0.03</v>
      </c>
      <c r="H82" s="124">
        <v>0.03</v>
      </c>
      <c r="I82" s="124">
        <v>0.03</v>
      </c>
      <c r="J82" s="124">
        <v>0.03</v>
      </c>
      <c r="K82" s="124">
        <v>0.03</v>
      </c>
      <c r="L82" s="124">
        <v>0.04</v>
      </c>
      <c r="M82" s="124">
        <v>0.04</v>
      </c>
      <c r="N82" s="124">
        <v>0.04</v>
      </c>
      <c r="O82" s="124">
        <v>0.04</v>
      </c>
      <c r="Q82" s="99">
        <f t="shared" si="32"/>
        <v>199</v>
      </c>
      <c r="R82" s="99">
        <f t="shared" si="33"/>
        <v>5.97</v>
      </c>
      <c r="S82" s="99">
        <f t="shared" si="34"/>
        <v>5.97</v>
      </c>
      <c r="T82" s="99">
        <f t="shared" si="35"/>
        <v>5.97</v>
      </c>
      <c r="U82" s="99">
        <f t="shared" si="36"/>
        <v>5.97</v>
      </c>
      <c r="V82" s="99">
        <f t="shared" si="37"/>
        <v>5.97</v>
      </c>
      <c r="W82" s="99">
        <f t="shared" si="38"/>
        <v>7.96</v>
      </c>
      <c r="X82" s="99">
        <f t="shared" si="39"/>
        <v>7.96</v>
      </c>
      <c r="Y82" s="99">
        <f t="shared" si="40"/>
        <v>7.96</v>
      </c>
      <c r="Z82" s="99">
        <f t="shared" si="41"/>
        <v>7.96</v>
      </c>
      <c r="AA82" s="64">
        <f t="shared" si="31"/>
        <v>260.69</v>
      </c>
    </row>
    <row r="83" spans="1:27" ht="15.75" thickBot="1" x14ac:dyDescent="0.3">
      <c r="A83" s="645"/>
      <c r="B83" s="632" t="s">
        <v>505</v>
      </c>
      <c r="C83" s="86" t="s">
        <v>506</v>
      </c>
      <c r="D83" s="123">
        <v>520</v>
      </c>
      <c r="E83" s="123">
        <v>699</v>
      </c>
      <c r="F83" s="124">
        <v>0.03</v>
      </c>
      <c r="G83" s="124">
        <v>0.03</v>
      </c>
      <c r="H83" s="124">
        <v>0.03</v>
      </c>
      <c r="I83" s="124">
        <v>0.03</v>
      </c>
      <c r="J83" s="124">
        <v>0.03</v>
      </c>
      <c r="K83" s="124">
        <v>0.03</v>
      </c>
      <c r="L83" s="124">
        <v>0.04</v>
      </c>
      <c r="M83" s="124">
        <v>0.04</v>
      </c>
      <c r="N83" s="124">
        <v>0.04</v>
      </c>
      <c r="O83" s="124">
        <v>0.04</v>
      </c>
      <c r="Q83" s="99">
        <f t="shared" si="32"/>
        <v>520</v>
      </c>
      <c r="R83" s="99">
        <f t="shared" si="33"/>
        <v>15.6</v>
      </c>
      <c r="S83" s="99">
        <f t="shared" si="34"/>
        <v>15.6</v>
      </c>
      <c r="T83" s="99">
        <f t="shared" si="35"/>
        <v>15.6</v>
      </c>
      <c r="U83" s="99">
        <f t="shared" si="36"/>
        <v>15.6</v>
      </c>
      <c r="V83" s="99">
        <f t="shared" si="37"/>
        <v>15.6</v>
      </c>
      <c r="W83" s="99">
        <f t="shared" si="38"/>
        <v>20.8</v>
      </c>
      <c r="X83" s="99">
        <f t="shared" si="39"/>
        <v>20.8</v>
      </c>
      <c r="Y83" s="99">
        <f t="shared" si="40"/>
        <v>20.8</v>
      </c>
      <c r="Z83" s="99">
        <f t="shared" si="41"/>
        <v>20.8</v>
      </c>
      <c r="AA83" s="64">
        <f t="shared" si="31"/>
        <v>681.19999999999993</v>
      </c>
    </row>
    <row r="84" spans="1:27" ht="26.25" thickBot="1" x14ac:dyDescent="0.3">
      <c r="A84" s="645"/>
      <c r="B84" s="633"/>
      <c r="C84" s="86" t="s">
        <v>507</v>
      </c>
      <c r="D84" s="123">
        <v>52975</v>
      </c>
      <c r="E84" s="123">
        <v>71194</v>
      </c>
      <c r="F84" s="124">
        <v>0.03</v>
      </c>
      <c r="G84" s="124">
        <v>0.03</v>
      </c>
      <c r="H84" s="124">
        <v>0.03</v>
      </c>
      <c r="I84" s="124">
        <v>0.03</v>
      </c>
      <c r="J84" s="124">
        <v>0.03</v>
      </c>
      <c r="K84" s="124">
        <v>0.03</v>
      </c>
      <c r="L84" s="124">
        <v>0.04</v>
      </c>
      <c r="M84" s="124">
        <v>0.04</v>
      </c>
      <c r="N84" s="124">
        <v>0.04</v>
      </c>
      <c r="O84" s="124">
        <v>0.04</v>
      </c>
      <c r="Q84" s="99">
        <f t="shared" si="32"/>
        <v>52975</v>
      </c>
      <c r="R84" s="99">
        <f t="shared" si="33"/>
        <v>1589.25</v>
      </c>
      <c r="S84" s="99">
        <f t="shared" si="34"/>
        <v>1589.25</v>
      </c>
      <c r="T84" s="99">
        <f t="shared" si="35"/>
        <v>1589.25</v>
      </c>
      <c r="U84" s="99">
        <f t="shared" si="36"/>
        <v>1589.25</v>
      </c>
      <c r="V84" s="99">
        <f t="shared" si="37"/>
        <v>1589.25</v>
      </c>
      <c r="W84" s="99">
        <f t="shared" si="38"/>
        <v>2119</v>
      </c>
      <c r="X84" s="99">
        <f t="shared" si="39"/>
        <v>2119</v>
      </c>
      <c r="Y84" s="99">
        <f t="shared" si="40"/>
        <v>2119</v>
      </c>
      <c r="Z84" s="99">
        <f t="shared" si="41"/>
        <v>2119</v>
      </c>
      <c r="AA84" s="64">
        <f t="shared" si="31"/>
        <v>69397.25</v>
      </c>
    </row>
    <row r="85" spans="1:27" ht="15.75" thickBot="1" x14ac:dyDescent="0.3">
      <c r="A85" s="645"/>
      <c r="B85" s="633"/>
      <c r="C85" s="86" t="s">
        <v>508</v>
      </c>
      <c r="D85" s="123">
        <v>1509</v>
      </c>
      <c r="E85" s="123">
        <v>2028</v>
      </c>
      <c r="F85" s="124">
        <v>0.03</v>
      </c>
      <c r="G85" s="124">
        <v>0.03</v>
      </c>
      <c r="H85" s="124">
        <v>0.03</v>
      </c>
      <c r="I85" s="124">
        <v>0.03</v>
      </c>
      <c r="J85" s="124">
        <v>0.03</v>
      </c>
      <c r="K85" s="124">
        <v>0.03</v>
      </c>
      <c r="L85" s="124">
        <v>0.04</v>
      </c>
      <c r="M85" s="124">
        <v>0.04</v>
      </c>
      <c r="N85" s="124">
        <v>0.04</v>
      </c>
      <c r="O85" s="124">
        <v>0.04</v>
      </c>
      <c r="Q85" s="99">
        <f t="shared" si="32"/>
        <v>1509</v>
      </c>
      <c r="R85" s="99">
        <f t="shared" si="33"/>
        <v>45.269999999999996</v>
      </c>
      <c r="S85" s="99">
        <f t="shared" si="34"/>
        <v>45.269999999999996</v>
      </c>
      <c r="T85" s="99">
        <f t="shared" si="35"/>
        <v>45.269999999999996</v>
      </c>
      <c r="U85" s="99">
        <f t="shared" si="36"/>
        <v>45.269999999999996</v>
      </c>
      <c r="V85" s="99">
        <f t="shared" si="37"/>
        <v>45.269999999999996</v>
      </c>
      <c r="W85" s="99">
        <f t="shared" si="38"/>
        <v>60.36</v>
      </c>
      <c r="X85" s="99">
        <f t="shared" si="39"/>
        <v>60.36</v>
      </c>
      <c r="Y85" s="99">
        <f t="shared" si="40"/>
        <v>60.36</v>
      </c>
      <c r="Z85" s="99">
        <f t="shared" si="41"/>
        <v>60.36</v>
      </c>
      <c r="AA85" s="64">
        <f t="shared" si="31"/>
        <v>1976.7899999999995</v>
      </c>
    </row>
    <row r="86" spans="1:27" ht="15.75" thickBot="1" x14ac:dyDescent="0.3">
      <c r="A86" s="645"/>
      <c r="B86" s="634"/>
      <c r="C86" s="86" t="s">
        <v>509</v>
      </c>
      <c r="D86" s="123">
        <v>531</v>
      </c>
      <c r="E86" s="123">
        <v>714</v>
      </c>
      <c r="F86" s="124">
        <v>0.03</v>
      </c>
      <c r="G86" s="124">
        <v>0.03</v>
      </c>
      <c r="H86" s="124">
        <v>0.03</v>
      </c>
      <c r="I86" s="124">
        <v>0.03</v>
      </c>
      <c r="J86" s="124">
        <v>0.03</v>
      </c>
      <c r="K86" s="124">
        <v>0.03</v>
      </c>
      <c r="L86" s="124">
        <v>0.04</v>
      </c>
      <c r="M86" s="124">
        <v>0.04</v>
      </c>
      <c r="N86" s="124">
        <v>0.04</v>
      </c>
      <c r="O86" s="124">
        <v>0.04</v>
      </c>
      <c r="Q86" s="99">
        <f t="shared" si="32"/>
        <v>531</v>
      </c>
      <c r="R86" s="99">
        <f t="shared" si="33"/>
        <v>15.93</v>
      </c>
      <c r="S86" s="99">
        <f t="shared" si="34"/>
        <v>15.93</v>
      </c>
      <c r="T86" s="99">
        <f t="shared" si="35"/>
        <v>15.93</v>
      </c>
      <c r="U86" s="99">
        <f t="shared" si="36"/>
        <v>15.93</v>
      </c>
      <c r="V86" s="99">
        <f t="shared" si="37"/>
        <v>15.93</v>
      </c>
      <c r="W86" s="99">
        <f t="shared" si="38"/>
        <v>21.240000000000002</v>
      </c>
      <c r="X86" s="99">
        <f t="shared" si="39"/>
        <v>21.240000000000002</v>
      </c>
      <c r="Y86" s="99">
        <f t="shared" si="40"/>
        <v>21.240000000000002</v>
      </c>
      <c r="Z86" s="99">
        <f t="shared" si="41"/>
        <v>21.240000000000002</v>
      </c>
      <c r="AA86" s="64">
        <f t="shared" si="31"/>
        <v>695.60999999999979</v>
      </c>
    </row>
    <row r="87" spans="1:27" ht="26.25" thickBot="1" x14ac:dyDescent="0.3">
      <c r="A87" s="645"/>
      <c r="B87" s="632" t="s">
        <v>510</v>
      </c>
      <c r="C87" s="86" t="s">
        <v>511</v>
      </c>
      <c r="D87" s="123">
        <v>50</v>
      </c>
      <c r="E87" s="123">
        <v>67</v>
      </c>
      <c r="F87" s="124">
        <v>0.03</v>
      </c>
      <c r="G87" s="124">
        <v>0.03</v>
      </c>
      <c r="H87" s="124">
        <v>0.03</v>
      </c>
      <c r="I87" s="124">
        <v>0.03</v>
      </c>
      <c r="J87" s="124">
        <v>0.03</v>
      </c>
      <c r="K87" s="124">
        <v>0.03</v>
      </c>
      <c r="L87" s="124">
        <v>0.04</v>
      </c>
      <c r="M87" s="124">
        <v>0.04</v>
      </c>
      <c r="N87" s="124">
        <v>0.04</v>
      </c>
      <c r="O87" s="124">
        <v>0.04</v>
      </c>
      <c r="Q87" s="99">
        <f t="shared" si="32"/>
        <v>50</v>
      </c>
      <c r="R87" s="99">
        <f t="shared" si="33"/>
        <v>1.5</v>
      </c>
      <c r="S87" s="99">
        <f t="shared" si="34"/>
        <v>1.5</v>
      </c>
      <c r="T87" s="99">
        <f t="shared" si="35"/>
        <v>1.5</v>
      </c>
      <c r="U87" s="99">
        <f t="shared" si="36"/>
        <v>1.5</v>
      </c>
      <c r="V87" s="99">
        <f t="shared" si="37"/>
        <v>1.5</v>
      </c>
      <c r="W87" s="99">
        <f t="shared" si="38"/>
        <v>2</v>
      </c>
      <c r="X87" s="99">
        <f t="shared" si="39"/>
        <v>2</v>
      </c>
      <c r="Y87" s="99">
        <f t="shared" si="40"/>
        <v>2</v>
      </c>
      <c r="Z87" s="99">
        <f t="shared" si="41"/>
        <v>2</v>
      </c>
      <c r="AA87" s="64">
        <f t="shared" si="31"/>
        <v>65.5</v>
      </c>
    </row>
    <row r="88" spans="1:27" ht="26.25" thickBot="1" x14ac:dyDescent="0.3">
      <c r="A88" s="645"/>
      <c r="B88" s="634"/>
      <c r="C88" s="86" t="s">
        <v>288</v>
      </c>
      <c r="D88" s="123">
        <v>10</v>
      </c>
      <c r="E88" s="123">
        <v>13</v>
      </c>
      <c r="F88" s="124">
        <v>0.03</v>
      </c>
      <c r="G88" s="124">
        <v>0.03</v>
      </c>
      <c r="H88" s="124">
        <v>0.03</v>
      </c>
      <c r="I88" s="124">
        <v>0.03</v>
      </c>
      <c r="J88" s="124">
        <v>0.03</v>
      </c>
      <c r="K88" s="124">
        <v>0.03</v>
      </c>
      <c r="L88" s="124">
        <v>0.04</v>
      </c>
      <c r="M88" s="124">
        <v>0.04</v>
      </c>
      <c r="N88" s="124">
        <v>0.04</v>
      </c>
      <c r="O88" s="124">
        <v>0.04</v>
      </c>
      <c r="Q88" s="99">
        <f t="shared" si="32"/>
        <v>10</v>
      </c>
      <c r="R88" s="99">
        <f t="shared" si="33"/>
        <v>0.3</v>
      </c>
      <c r="S88" s="99">
        <f t="shared" si="34"/>
        <v>0.3</v>
      </c>
      <c r="T88" s="99">
        <f t="shared" si="35"/>
        <v>0.3</v>
      </c>
      <c r="U88" s="99">
        <f t="shared" si="36"/>
        <v>0.3</v>
      </c>
      <c r="V88" s="99">
        <f t="shared" si="37"/>
        <v>0.3</v>
      </c>
      <c r="W88" s="99">
        <f t="shared" si="38"/>
        <v>0.4</v>
      </c>
      <c r="X88" s="99">
        <f t="shared" si="39"/>
        <v>0.4</v>
      </c>
      <c r="Y88" s="99">
        <f t="shared" si="40"/>
        <v>0.4</v>
      </c>
      <c r="Z88" s="99">
        <f t="shared" si="41"/>
        <v>0.4</v>
      </c>
      <c r="AA88" s="64">
        <f t="shared" si="31"/>
        <v>13.100000000000005</v>
      </c>
    </row>
    <row r="89" spans="1:27" ht="15.75" thickBot="1" x14ac:dyDescent="0.3">
      <c r="A89" s="645"/>
      <c r="B89" s="632" t="s">
        <v>512</v>
      </c>
      <c r="C89" s="86" t="s">
        <v>513</v>
      </c>
      <c r="D89" s="123">
        <v>150</v>
      </c>
      <c r="E89" s="123">
        <v>202</v>
      </c>
      <c r="F89" s="124">
        <v>0.03</v>
      </c>
      <c r="G89" s="124">
        <v>0.03</v>
      </c>
      <c r="H89" s="124">
        <v>0.03</v>
      </c>
      <c r="I89" s="124">
        <v>0.03</v>
      </c>
      <c r="J89" s="124">
        <v>0.03</v>
      </c>
      <c r="K89" s="124">
        <v>0.03</v>
      </c>
      <c r="L89" s="124">
        <v>0.04</v>
      </c>
      <c r="M89" s="124">
        <v>0.04</v>
      </c>
      <c r="N89" s="124">
        <v>0.04</v>
      </c>
      <c r="O89" s="124">
        <v>0.04</v>
      </c>
      <c r="Q89" s="99">
        <f t="shared" si="32"/>
        <v>150</v>
      </c>
      <c r="R89" s="99">
        <f t="shared" si="33"/>
        <v>4.5</v>
      </c>
      <c r="S89" s="99">
        <f t="shared" si="34"/>
        <v>4.5</v>
      </c>
      <c r="T89" s="99">
        <f t="shared" si="35"/>
        <v>4.5</v>
      </c>
      <c r="U89" s="99">
        <f t="shared" si="36"/>
        <v>4.5</v>
      </c>
      <c r="V89" s="99">
        <f t="shared" si="37"/>
        <v>4.5</v>
      </c>
      <c r="W89" s="99">
        <f t="shared" si="38"/>
        <v>6</v>
      </c>
      <c r="X89" s="99">
        <f t="shared" si="39"/>
        <v>6</v>
      </c>
      <c r="Y89" s="99">
        <f t="shared" si="40"/>
        <v>6</v>
      </c>
      <c r="Z89" s="99">
        <f t="shared" si="41"/>
        <v>6</v>
      </c>
      <c r="AA89" s="64">
        <f t="shared" si="31"/>
        <v>196.5</v>
      </c>
    </row>
    <row r="90" spans="1:27" ht="26.25" thickBot="1" x14ac:dyDescent="0.3">
      <c r="A90" s="645"/>
      <c r="B90" s="633"/>
      <c r="C90" s="86" t="s">
        <v>514</v>
      </c>
      <c r="D90" s="123">
        <v>3600</v>
      </c>
      <c r="E90" s="123">
        <v>4838</v>
      </c>
      <c r="F90" s="124">
        <v>0.03</v>
      </c>
      <c r="G90" s="124">
        <v>0.03</v>
      </c>
      <c r="H90" s="124">
        <v>0.03</v>
      </c>
      <c r="I90" s="124">
        <v>0.03</v>
      </c>
      <c r="J90" s="124">
        <v>0.03</v>
      </c>
      <c r="K90" s="124">
        <v>0.03</v>
      </c>
      <c r="L90" s="124">
        <v>0.04</v>
      </c>
      <c r="M90" s="124">
        <v>0.04</v>
      </c>
      <c r="N90" s="124">
        <v>0.04</v>
      </c>
      <c r="O90" s="124">
        <v>0.04</v>
      </c>
      <c r="Q90" s="99">
        <f t="shared" si="32"/>
        <v>3600</v>
      </c>
      <c r="R90" s="99">
        <f t="shared" si="33"/>
        <v>108</v>
      </c>
      <c r="S90" s="99">
        <f t="shared" si="34"/>
        <v>108</v>
      </c>
      <c r="T90" s="99">
        <f t="shared" si="35"/>
        <v>108</v>
      </c>
      <c r="U90" s="99">
        <f t="shared" si="36"/>
        <v>108</v>
      </c>
      <c r="V90" s="99">
        <f t="shared" si="37"/>
        <v>108</v>
      </c>
      <c r="W90" s="99">
        <f t="shared" si="38"/>
        <v>144</v>
      </c>
      <c r="X90" s="99">
        <f t="shared" si="39"/>
        <v>144</v>
      </c>
      <c r="Y90" s="99">
        <f t="shared" si="40"/>
        <v>144</v>
      </c>
      <c r="Z90" s="99">
        <f t="shared" si="41"/>
        <v>144</v>
      </c>
      <c r="AA90" s="64">
        <f t="shared" si="31"/>
        <v>4716</v>
      </c>
    </row>
    <row r="91" spans="1:27" ht="15.75" thickBot="1" x14ac:dyDescent="0.3">
      <c r="A91" s="645"/>
      <c r="B91" s="633"/>
      <c r="C91" s="638" t="s">
        <v>515</v>
      </c>
      <c r="D91" s="123">
        <v>200</v>
      </c>
      <c r="E91" s="123">
        <v>486</v>
      </c>
      <c r="F91" s="124">
        <v>0.05</v>
      </c>
      <c r="G91" s="124">
        <v>0.06</v>
      </c>
      <c r="H91" s="124">
        <v>0.1</v>
      </c>
      <c r="I91" s="124">
        <v>0.12</v>
      </c>
      <c r="J91" s="124">
        <v>0.14000000000000001</v>
      </c>
      <c r="K91" s="124">
        <v>0.16</v>
      </c>
      <c r="L91" s="124">
        <v>0.17</v>
      </c>
      <c r="M91" s="124">
        <v>0.18</v>
      </c>
      <c r="N91" s="124">
        <v>0.2</v>
      </c>
      <c r="O91" s="124">
        <v>0.25</v>
      </c>
      <c r="Q91" s="99">
        <f t="shared" si="32"/>
        <v>200</v>
      </c>
      <c r="R91" s="99">
        <f t="shared" si="33"/>
        <v>12</v>
      </c>
      <c r="S91" s="99">
        <f t="shared" si="34"/>
        <v>20</v>
      </c>
      <c r="T91" s="99">
        <f t="shared" si="35"/>
        <v>24</v>
      </c>
      <c r="U91" s="99">
        <f t="shared" si="36"/>
        <v>28.000000000000004</v>
      </c>
      <c r="V91" s="99">
        <f t="shared" si="37"/>
        <v>32</v>
      </c>
      <c r="W91" s="99">
        <f t="shared" si="38"/>
        <v>34</v>
      </c>
      <c r="X91" s="99">
        <f t="shared" si="39"/>
        <v>36</v>
      </c>
      <c r="Y91" s="99">
        <f t="shared" si="40"/>
        <v>40</v>
      </c>
      <c r="Z91" s="99">
        <f t="shared" si="41"/>
        <v>50</v>
      </c>
      <c r="AA91" s="64">
        <f t="shared" si="31"/>
        <v>476</v>
      </c>
    </row>
    <row r="92" spans="1:27" ht="15.75" thickBot="1" x14ac:dyDescent="0.3">
      <c r="A92" s="645"/>
      <c r="B92" s="633"/>
      <c r="C92" s="639"/>
      <c r="D92" s="123">
        <v>150</v>
      </c>
      <c r="E92" s="123">
        <v>483</v>
      </c>
      <c r="F92" s="124">
        <v>0.1</v>
      </c>
      <c r="G92" s="124">
        <v>0.15</v>
      </c>
      <c r="H92" s="124">
        <v>0.17</v>
      </c>
      <c r="I92" s="124">
        <v>0.18</v>
      </c>
      <c r="J92" s="124">
        <v>0.2</v>
      </c>
      <c r="K92" s="124">
        <v>0.22</v>
      </c>
      <c r="L92" s="124">
        <v>0.25</v>
      </c>
      <c r="M92" s="124">
        <v>0.3</v>
      </c>
      <c r="N92" s="124">
        <v>0.3</v>
      </c>
      <c r="O92" s="124">
        <v>0.35</v>
      </c>
      <c r="Q92" s="99">
        <f t="shared" si="32"/>
        <v>150</v>
      </c>
      <c r="R92" s="99">
        <f t="shared" si="33"/>
        <v>22.5</v>
      </c>
      <c r="S92" s="99">
        <f t="shared" si="34"/>
        <v>25.500000000000004</v>
      </c>
      <c r="T92" s="99">
        <f t="shared" si="35"/>
        <v>27</v>
      </c>
      <c r="U92" s="99">
        <f t="shared" si="36"/>
        <v>30</v>
      </c>
      <c r="V92" s="99">
        <f t="shared" si="37"/>
        <v>33</v>
      </c>
      <c r="W92" s="99">
        <f t="shared" si="38"/>
        <v>37.5</v>
      </c>
      <c r="X92" s="99">
        <f t="shared" si="39"/>
        <v>45</v>
      </c>
      <c r="Y92" s="99">
        <f t="shared" si="40"/>
        <v>45</v>
      </c>
      <c r="Z92" s="99">
        <f t="shared" si="41"/>
        <v>52.5</v>
      </c>
      <c r="AA92" s="64">
        <f t="shared" si="31"/>
        <v>468</v>
      </c>
    </row>
    <row r="93" spans="1:27" ht="15.75" thickBot="1" x14ac:dyDescent="0.3">
      <c r="A93" s="645"/>
      <c r="B93" s="633"/>
      <c r="C93" s="640"/>
      <c r="D93" s="123">
        <v>150</v>
      </c>
      <c r="E93" s="123">
        <v>483</v>
      </c>
      <c r="F93" s="124">
        <v>0.1</v>
      </c>
      <c r="G93" s="124">
        <v>0.15</v>
      </c>
      <c r="H93" s="124">
        <v>0.17</v>
      </c>
      <c r="I93" s="124">
        <v>0.18</v>
      </c>
      <c r="J93" s="124">
        <v>0.2</v>
      </c>
      <c r="K93" s="124">
        <v>0.22</v>
      </c>
      <c r="L93" s="124">
        <v>0.25</v>
      </c>
      <c r="M93" s="124">
        <v>0.3</v>
      </c>
      <c r="N93" s="124">
        <v>0.3</v>
      </c>
      <c r="O93" s="124">
        <v>0.35</v>
      </c>
      <c r="Q93" s="99">
        <f t="shared" si="32"/>
        <v>150</v>
      </c>
      <c r="R93" s="99">
        <f t="shared" si="33"/>
        <v>22.5</v>
      </c>
      <c r="S93" s="99">
        <f t="shared" si="34"/>
        <v>25.500000000000004</v>
      </c>
      <c r="T93" s="99">
        <f t="shared" si="35"/>
        <v>27</v>
      </c>
      <c r="U93" s="99">
        <f t="shared" si="36"/>
        <v>30</v>
      </c>
      <c r="V93" s="99">
        <f t="shared" si="37"/>
        <v>33</v>
      </c>
      <c r="W93" s="99">
        <f t="shared" si="38"/>
        <v>37.5</v>
      </c>
      <c r="X93" s="99">
        <f t="shared" si="39"/>
        <v>45</v>
      </c>
      <c r="Y93" s="99">
        <f t="shared" si="40"/>
        <v>45</v>
      </c>
      <c r="Z93" s="99">
        <f t="shared" si="41"/>
        <v>52.5</v>
      </c>
      <c r="AA93" s="64">
        <f t="shared" si="31"/>
        <v>468</v>
      </c>
    </row>
    <row r="94" spans="1:27" ht="39" thickBot="1" x14ac:dyDescent="0.3">
      <c r="A94" s="645"/>
      <c r="B94" s="633"/>
      <c r="C94" s="86" t="s">
        <v>516</v>
      </c>
      <c r="D94" s="123">
        <v>4131</v>
      </c>
      <c r="E94" s="123">
        <v>5552</v>
      </c>
      <c r="F94" s="124">
        <v>0.03</v>
      </c>
      <c r="G94" s="124">
        <v>0.03</v>
      </c>
      <c r="H94" s="124">
        <v>0.03</v>
      </c>
      <c r="I94" s="124">
        <v>0.03</v>
      </c>
      <c r="J94" s="124">
        <v>0.03</v>
      </c>
      <c r="K94" s="124">
        <v>0.03</v>
      </c>
      <c r="L94" s="124">
        <v>0.04</v>
      </c>
      <c r="M94" s="124">
        <v>0.04</v>
      </c>
      <c r="N94" s="124">
        <v>0.04</v>
      </c>
      <c r="O94" s="124">
        <v>0.04</v>
      </c>
      <c r="Q94" s="99">
        <f t="shared" si="32"/>
        <v>4131</v>
      </c>
      <c r="R94" s="99">
        <f t="shared" si="33"/>
        <v>123.92999999999999</v>
      </c>
      <c r="S94" s="99">
        <f t="shared" si="34"/>
        <v>123.92999999999999</v>
      </c>
      <c r="T94" s="99">
        <f t="shared" si="35"/>
        <v>123.92999999999999</v>
      </c>
      <c r="U94" s="99">
        <f t="shared" si="36"/>
        <v>123.92999999999999</v>
      </c>
      <c r="V94" s="99">
        <f t="shared" si="37"/>
        <v>123.92999999999999</v>
      </c>
      <c r="W94" s="99">
        <f t="shared" si="38"/>
        <v>165.24</v>
      </c>
      <c r="X94" s="99">
        <f t="shared" si="39"/>
        <v>165.24</v>
      </c>
      <c r="Y94" s="99">
        <f t="shared" si="40"/>
        <v>165.24</v>
      </c>
      <c r="Z94" s="99">
        <f t="shared" si="41"/>
        <v>165.24</v>
      </c>
      <c r="AA94" s="64">
        <f t="shared" si="31"/>
        <v>5411.6100000000006</v>
      </c>
    </row>
    <row r="95" spans="1:27" ht="26.25" thickBot="1" x14ac:dyDescent="0.3">
      <c r="A95" s="645"/>
      <c r="B95" s="633"/>
      <c r="C95" s="86" t="s">
        <v>517</v>
      </c>
      <c r="D95" s="123">
        <v>1185</v>
      </c>
      <c r="E95" s="123">
        <v>1593</v>
      </c>
      <c r="F95" s="124">
        <v>0.03</v>
      </c>
      <c r="G95" s="124">
        <v>0.03</v>
      </c>
      <c r="H95" s="124">
        <v>0.03</v>
      </c>
      <c r="I95" s="124">
        <v>0.03</v>
      </c>
      <c r="J95" s="124">
        <v>0.03</v>
      </c>
      <c r="K95" s="124">
        <v>0.03</v>
      </c>
      <c r="L95" s="124">
        <v>0.04</v>
      </c>
      <c r="M95" s="124">
        <v>0.04</v>
      </c>
      <c r="N95" s="124">
        <v>0.04</v>
      </c>
      <c r="O95" s="124">
        <v>0.04</v>
      </c>
      <c r="Q95" s="99">
        <f t="shared" si="32"/>
        <v>1185</v>
      </c>
      <c r="R95" s="99">
        <f t="shared" si="33"/>
        <v>35.549999999999997</v>
      </c>
      <c r="S95" s="99">
        <f t="shared" si="34"/>
        <v>35.549999999999997</v>
      </c>
      <c r="T95" s="99">
        <f t="shared" si="35"/>
        <v>35.549999999999997</v>
      </c>
      <c r="U95" s="99">
        <f t="shared" si="36"/>
        <v>35.549999999999997</v>
      </c>
      <c r="V95" s="99">
        <f t="shared" si="37"/>
        <v>35.549999999999997</v>
      </c>
      <c r="W95" s="99">
        <f t="shared" si="38"/>
        <v>47.4</v>
      </c>
      <c r="X95" s="99">
        <f t="shared" si="39"/>
        <v>47.4</v>
      </c>
      <c r="Y95" s="99">
        <f t="shared" si="40"/>
        <v>47.4</v>
      </c>
      <c r="Z95" s="99">
        <f t="shared" si="41"/>
        <v>47.4</v>
      </c>
      <c r="AA95" s="64">
        <f t="shared" si="31"/>
        <v>1552.3500000000001</v>
      </c>
    </row>
    <row r="96" spans="1:27" ht="39" thickBot="1" x14ac:dyDescent="0.3">
      <c r="A96" s="645"/>
      <c r="B96" s="634"/>
      <c r="C96" s="86" t="s">
        <v>518</v>
      </c>
      <c r="D96" s="123">
        <v>537</v>
      </c>
      <c r="E96" s="123">
        <v>722</v>
      </c>
      <c r="F96" s="124">
        <v>0.03</v>
      </c>
      <c r="G96" s="124">
        <v>0.03</v>
      </c>
      <c r="H96" s="124">
        <v>0.03</v>
      </c>
      <c r="I96" s="124">
        <v>0.03</v>
      </c>
      <c r="J96" s="124">
        <v>0.03</v>
      </c>
      <c r="K96" s="124">
        <v>0.03</v>
      </c>
      <c r="L96" s="124">
        <v>0.04</v>
      </c>
      <c r="M96" s="124">
        <v>0.04</v>
      </c>
      <c r="N96" s="124">
        <v>0.04</v>
      </c>
      <c r="O96" s="124">
        <v>0.04</v>
      </c>
      <c r="Q96" s="99">
        <f t="shared" si="32"/>
        <v>537</v>
      </c>
      <c r="R96" s="99">
        <f t="shared" si="33"/>
        <v>16.11</v>
      </c>
      <c r="S96" s="99">
        <f t="shared" si="34"/>
        <v>16.11</v>
      </c>
      <c r="T96" s="99">
        <f t="shared" si="35"/>
        <v>16.11</v>
      </c>
      <c r="U96" s="99">
        <f t="shared" si="36"/>
        <v>16.11</v>
      </c>
      <c r="V96" s="99">
        <f t="shared" si="37"/>
        <v>16.11</v>
      </c>
      <c r="W96" s="99">
        <f t="shared" si="38"/>
        <v>21.48</v>
      </c>
      <c r="X96" s="99">
        <f t="shared" si="39"/>
        <v>21.48</v>
      </c>
      <c r="Y96" s="99">
        <f t="shared" si="40"/>
        <v>21.48</v>
      </c>
      <c r="Z96" s="99">
        <f t="shared" si="41"/>
        <v>21.48</v>
      </c>
      <c r="AA96" s="64">
        <f t="shared" si="31"/>
        <v>703.47000000000014</v>
      </c>
    </row>
    <row r="97" spans="1:27" ht="26.25" thickBot="1" x14ac:dyDescent="0.3">
      <c r="A97" s="646"/>
      <c r="B97" s="85" t="s">
        <v>519</v>
      </c>
      <c r="C97" s="86" t="s">
        <v>520</v>
      </c>
      <c r="D97" s="123">
        <v>9113</v>
      </c>
      <c r="E97" s="123">
        <v>12247</v>
      </c>
      <c r="F97" s="124">
        <v>0.03</v>
      </c>
      <c r="G97" s="124">
        <v>0.03</v>
      </c>
      <c r="H97" s="124">
        <v>0.03</v>
      </c>
      <c r="I97" s="124">
        <v>0.03</v>
      </c>
      <c r="J97" s="124">
        <v>0.03</v>
      </c>
      <c r="K97" s="124">
        <v>0.03</v>
      </c>
      <c r="L97" s="124">
        <v>0.04</v>
      </c>
      <c r="M97" s="124">
        <v>0.04</v>
      </c>
      <c r="N97" s="124">
        <v>0.04</v>
      </c>
      <c r="O97" s="124">
        <v>0.04</v>
      </c>
      <c r="Q97" s="99">
        <f t="shared" si="32"/>
        <v>9113</v>
      </c>
      <c r="R97" s="99">
        <f t="shared" si="33"/>
        <v>273.39</v>
      </c>
      <c r="S97" s="99">
        <f t="shared" si="34"/>
        <v>273.39</v>
      </c>
      <c r="T97" s="99">
        <f t="shared" si="35"/>
        <v>273.39</v>
      </c>
      <c r="U97" s="99">
        <f t="shared" si="36"/>
        <v>273.39</v>
      </c>
      <c r="V97" s="99">
        <f t="shared" si="37"/>
        <v>273.39</v>
      </c>
      <c r="W97" s="99">
        <f t="shared" si="38"/>
        <v>364.52</v>
      </c>
      <c r="X97" s="99">
        <f t="shared" si="39"/>
        <v>364.52</v>
      </c>
      <c r="Y97" s="99">
        <f t="shared" si="40"/>
        <v>364.52</v>
      </c>
      <c r="Z97" s="99">
        <f t="shared" si="41"/>
        <v>364.52</v>
      </c>
      <c r="AA97" s="64">
        <f t="shared" si="31"/>
        <v>11938.029999999999</v>
      </c>
    </row>
    <row r="100" spans="1:27" ht="15.75" thickBot="1" x14ac:dyDescent="0.3"/>
    <row r="101" spans="1:27" ht="15.75" thickBot="1" x14ac:dyDescent="0.3">
      <c r="A101" s="636" t="s">
        <v>426</v>
      </c>
      <c r="B101" s="636" t="s">
        <v>401</v>
      </c>
      <c r="C101" s="636" t="s">
        <v>402</v>
      </c>
      <c r="D101" s="636" t="s">
        <v>403</v>
      </c>
      <c r="E101" s="636" t="s">
        <v>404</v>
      </c>
      <c r="F101" s="626" t="s">
        <v>405</v>
      </c>
      <c r="G101" s="627"/>
      <c r="H101" s="627"/>
      <c r="I101" s="627"/>
      <c r="J101" s="627"/>
      <c r="K101" s="627"/>
      <c r="L101" s="627"/>
      <c r="M101" s="627"/>
      <c r="N101" s="627"/>
      <c r="O101" s="628"/>
      <c r="Q101" s="626" t="s">
        <v>405</v>
      </c>
      <c r="R101" s="627"/>
      <c r="S101" s="627"/>
      <c r="T101" s="627"/>
      <c r="U101" s="627"/>
      <c r="V101" s="627"/>
      <c r="W101" s="627"/>
      <c r="X101" s="627"/>
      <c r="Y101" s="627"/>
      <c r="Z101" s="628"/>
    </row>
    <row r="102" spans="1:27" ht="15.75" thickBot="1" x14ac:dyDescent="0.3">
      <c r="A102" s="637"/>
      <c r="B102" s="637"/>
      <c r="C102" s="637"/>
      <c r="D102" s="637"/>
      <c r="E102" s="637"/>
      <c r="F102" s="125">
        <v>2015</v>
      </c>
      <c r="G102" s="125">
        <v>2016</v>
      </c>
      <c r="H102" s="125">
        <v>2017</v>
      </c>
      <c r="I102" s="125">
        <v>2018</v>
      </c>
      <c r="J102" s="125">
        <v>2019</v>
      </c>
      <c r="K102" s="125">
        <v>2020</v>
      </c>
      <c r="L102" s="125">
        <v>2021</v>
      </c>
      <c r="M102" s="125">
        <v>2022</v>
      </c>
      <c r="N102" s="125">
        <v>2023</v>
      </c>
      <c r="O102" s="125">
        <v>2024</v>
      </c>
      <c r="Q102" s="125">
        <v>2015</v>
      </c>
      <c r="R102" s="125">
        <v>2016</v>
      </c>
      <c r="S102" s="125">
        <v>2017</v>
      </c>
      <c r="T102" s="125">
        <v>2018</v>
      </c>
      <c r="U102" s="125">
        <v>2019</v>
      </c>
      <c r="V102" s="125">
        <v>2020</v>
      </c>
      <c r="W102" s="125">
        <v>2021</v>
      </c>
      <c r="X102" s="125">
        <v>2022</v>
      </c>
      <c r="Y102" s="125">
        <v>2023</v>
      </c>
      <c r="Z102" s="125">
        <v>2024</v>
      </c>
    </row>
    <row r="103" spans="1:27" ht="39" thickBot="1" x14ac:dyDescent="0.3">
      <c r="A103" s="629" t="s">
        <v>299</v>
      </c>
      <c r="B103" s="85" t="s">
        <v>521</v>
      </c>
      <c r="C103" s="86" t="s">
        <v>522</v>
      </c>
      <c r="D103" s="126">
        <v>0.3</v>
      </c>
      <c r="E103" s="126">
        <v>1</v>
      </c>
      <c r="F103" s="117">
        <v>7.0000000000000007E-2</v>
      </c>
      <c r="G103" s="117">
        <v>7.0000000000000007E-2</v>
      </c>
      <c r="H103" s="117">
        <v>7.0000000000000007E-2</v>
      </c>
      <c r="I103" s="117">
        <v>7.0000000000000007E-2</v>
      </c>
      <c r="J103" s="117">
        <v>7.0000000000000007E-2</v>
      </c>
      <c r="K103" s="117">
        <v>7.0000000000000007E-2</v>
      </c>
      <c r="L103" s="117">
        <v>7.0000000000000007E-2</v>
      </c>
      <c r="M103" s="117">
        <v>7.0000000000000007E-2</v>
      </c>
      <c r="N103" s="117">
        <v>7.0000000000000007E-2</v>
      </c>
      <c r="O103" s="117">
        <v>7.0000000000000007E-2</v>
      </c>
      <c r="Q103" s="99">
        <f t="shared" ref="Q103" si="42">D103</f>
        <v>0.3</v>
      </c>
      <c r="R103" s="99">
        <f t="shared" ref="R103" si="43">D103*G103</f>
        <v>2.1000000000000001E-2</v>
      </c>
      <c r="S103" s="99">
        <f t="shared" ref="S103" si="44">D103*H103</f>
        <v>2.1000000000000001E-2</v>
      </c>
      <c r="T103" s="99">
        <f t="shared" ref="T103" si="45">D103*I103</f>
        <v>2.1000000000000001E-2</v>
      </c>
      <c r="U103" s="99">
        <f t="shared" ref="U103" si="46">D103*J103</f>
        <v>2.1000000000000001E-2</v>
      </c>
      <c r="V103" s="99">
        <f t="shared" ref="V103" si="47">D103*K103</f>
        <v>2.1000000000000001E-2</v>
      </c>
      <c r="W103" s="99">
        <f t="shared" ref="W103" si="48">D103*L103</f>
        <v>2.1000000000000001E-2</v>
      </c>
      <c r="X103" s="99">
        <f t="shared" ref="X103" si="49">D103*M103</f>
        <v>2.1000000000000001E-2</v>
      </c>
      <c r="Y103" s="99">
        <f t="shared" ref="Y103" si="50">D103*N103</f>
        <v>2.1000000000000001E-2</v>
      </c>
      <c r="Z103" s="99">
        <f t="shared" ref="Z103" si="51">D103*O103</f>
        <v>2.1000000000000001E-2</v>
      </c>
      <c r="AA103" s="64">
        <f t="shared" ref="AA103" si="52">SUM(Q103:Z103)</f>
        <v>0.48900000000000016</v>
      </c>
    </row>
    <row r="104" spans="1:27" ht="26.25" thickBot="1" x14ac:dyDescent="0.3">
      <c r="A104" s="630"/>
      <c r="B104" s="632" t="s">
        <v>523</v>
      </c>
      <c r="C104" s="86" t="s">
        <v>524</v>
      </c>
      <c r="D104" s="127">
        <v>48124</v>
      </c>
      <c r="E104" s="127">
        <v>73148</v>
      </c>
      <c r="F104" s="94">
        <v>0.02</v>
      </c>
      <c r="G104" s="94">
        <v>0.03</v>
      </c>
      <c r="H104" s="94">
        <v>0.03</v>
      </c>
      <c r="I104" s="94">
        <v>0.04</v>
      </c>
      <c r="J104" s="94">
        <v>0.04</v>
      </c>
      <c r="K104" s="94">
        <v>0.12</v>
      </c>
      <c r="L104" s="94">
        <v>0.12</v>
      </c>
      <c r="M104" s="94">
        <v>0.06</v>
      </c>
      <c r="N104" s="94">
        <v>0.03</v>
      </c>
      <c r="O104" s="94">
        <v>0.03</v>
      </c>
      <c r="Q104" s="99">
        <f t="shared" ref="Q104:Q132" si="53">D104</f>
        <v>48124</v>
      </c>
      <c r="R104" s="99">
        <f t="shared" ref="R104:R132" si="54">D104*G104</f>
        <v>1443.72</v>
      </c>
      <c r="S104" s="99">
        <f t="shared" ref="S104:S132" si="55">D104*H104</f>
        <v>1443.72</v>
      </c>
      <c r="T104" s="99">
        <f t="shared" ref="T104:T132" si="56">D104*I104</f>
        <v>1924.96</v>
      </c>
      <c r="U104" s="99">
        <f t="shared" ref="U104:U132" si="57">D104*J104</f>
        <v>1924.96</v>
      </c>
      <c r="V104" s="99">
        <f t="shared" ref="V104:V132" si="58">D104*K104</f>
        <v>5774.88</v>
      </c>
      <c r="W104" s="99">
        <f t="shared" ref="W104:W132" si="59">D104*L104</f>
        <v>5774.88</v>
      </c>
      <c r="X104" s="99">
        <f t="shared" ref="X104:X132" si="60">D104*M104</f>
        <v>2887.44</v>
      </c>
      <c r="Y104" s="99">
        <f t="shared" ref="Y104:Y132" si="61">D104*N104</f>
        <v>1443.72</v>
      </c>
      <c r="Z104" s="99">
        <f t="shared" ref="Z104:Z132" si="62">D104*O104</f>
        <v>1443.72</v>
      </c>
      <c r="AA104" s="64">
        <f t="shared" ref="AA104:AA132" si="63">SUM(Q104:Z104)</f>
        <v>72186</v>
      </c>
    </row>
    <row r="105" spans="1:27" ht="26.25" thickBot="1" x14ac:dyDescent="0.3">
      <c r="A105" s="630"/>
      <c r="B105" s="633"/>
      <c r="C105" s="86" t="s">
        <v>525</v>
      </c>
      <c r="D105" s="127">
        <v>32909</v>
      </c>
      <c r="E105" s="127">
        <v>47093</v>
      </c>
      <c r="F105" s="94">
        <v>0.05</v>
      </c>
      <c r="G105" s="94">
        <v>0.04</v>
      </c>
      <c r="H105" s="94">
        <v>0.04</v>
      </c>
      <c r="I105" s="94">
        <v>0.05</v>
      </c>
      <c r="J105" s="94">
        <v>0.06</v>
      </c>
      <c r="K105" s="94">
        <v>0.05</v>
      </c>
      <c r="L105" s="94">
        <v>0.04</v>
      </c>
      <c r="M105" s="94">
        <v>0.03</v>
      </c>
      <c r="N105" s="94">
        <v>0.03</v>
      </c>
      <c r="O105" s="94">
        <v>0.03</v>
      </c>
      <c r="Q105" s="99">
        <f t="shared" si="53"/>
        <v>32909</v>
      </c>
      <c r="R105" s="99">
        <f t="shared" si="54"/>
        <v>1316.3600000000001</v>
      </c>
      <c r="S105" s="99">
        <f t="shared" si="55"/>
        <v>1316.3600000000001</v>
      </c>
      <c r="T105" s="99">
        <f t="shared" si="56"/>
        <v>1645.45</v>
      </c>
      <c r="U105" s="99">
        <f t="shared" si="57"/>
        <v>1974.54</v>
      </c>
      <c r="V105" s="99">
        <f t="shared" si="58"/>
        <v>1645.45</v>
      </c>
      <c r="W105" s="99">
        <f t="shared" si="59"/>
        <v>1316.3600000000001</v>
      </c>
      <c r="X105" s="99">
        <f t="shared" si="60"/>
        <v>987.27</v>
      </c>
      <c r="Y105" s="99">
        <f t="shared" si="61"/>
        <v>987.27</v>
      </c>
      <c r="Z105" s="99">
        <f t="shared" si="62"/>
        <v>987.27</v>
      </c>
      <c r="AA105" s="64">
        <f t="shared" si="63"/>
        <v>45085.329999999987</v>
      </c>
    </row>
    <row r="106" spans="1:27" ht="26.25" thickBot="1" x14ac:dyDescent="0.3">
      <c r="A106" s="630"/>
      <c r="B106" s="633"/>
      <c r="C106" s="86" t="s">
        <v>526</v>
      </c>
      <c r="D106" s="127">
        <v>42349</v>
      </c>
      <c r="E106" s="127">
        <v>50522</v>
      </c>
      <c r="F106" s="94">
        <v>0.02</v>
      </c>
      <c r="G106" s="94">
        <v>0.02</v>
      </c>
      <c r="H106" s="94">
        <v>0.02</v>
      </c>
      <c r="I106" s="94">
        <v>0.02</v>
      </c>
      <c r="J106" s="94">
        <v>0.02</v>
      </c>
      <c r="K106" s="94">
        <v>0.02</v>
      </c>
      <c r="L106" s="94">
        <v>0.02</v>
      </c>
      <c r="M106" s="94">
        <v>0.02</v>
      </c>
      <c r="N106" s="94">
        <v>0.02</v>
      </c>
      <c r="O106" s="94">
        <v>0.02</v>
      </c>
      <c r="Q106" s="99">
        <f t="shared" si="53"/>
        <v>42349</v>
      </c>
      <c r="R106" s="99">
        <f t="shared" si="54"/>
        <v>846.98</v>
      </c>
      <c r="S106" s="99">
        <f t="shared" si="55"/>
        <v>846.98</v>
      </c>
      <c r="T106" s="99">
        <f t="shared" si="56"/>
        <v>846.98</v>
      </c>
      <c r="U106" s="99">
        <f t="shared" si="57"/>
        <v>846.98</v>
      </c>
      <c r="V106" s="99">
        <f t="shared" si="58"/>
        <v>846.98</v>
      </c>
      <c r="W106" s="99">
        <f t="shared" si="59"/>
        <v>846.98</v>
      </c>
      <c r="X106" s="99">
        <f t="shared" si="60"/>
        <v>846.98</v>
      </c>
      <c r="Y106" s="99">
        <f t="shared" si="61"/>
        <v>846.98</v>
      </c>
      <c r="Z106" s="99">
        <f t="shared" si="62"/>
        <v>846.98</v>
      </c>
      <c r="AA106" s="64">
        <f t="shared" si="63"/>
        <v>49971.820000000029</v>
      </c>
    </row>
    <row r="107" spans="1:27" ht="26.25" thickBot="1" x14ac:dyDescent="0.3">
      <c r="A107" s="630"/>
      <c r="B107" s="633"/>
      <c r="C107" s="86" t="s">
        <v>527</v>
      </c>
      <c r="D107" s="127">
        <v>28874</v>
      </c>
      <c r="E107" s="127">
        <v>48220</v>
      </c>
      <c r="F107" s="94">
        <v>0.08</v>
      </c>
      <c r="G107" s="94">
        <v>0.08</v>
      </c>
      <c r="H107" s="94">
        <v>7.0000000000000007E-2</v>
      </c>
      <c r="I107" s="94">
        <v>7.0000000000000007E-2</v>
      </c>
      <c r="J107" s="94">
        <v>7.0000000000000007E-2</v>
      </c>
      <c r="K107" s="94">
        <v>0.06</v>
      </c>
      <c r="L107" s="94">
        <v>0.06</v>
      </c>
      <c r="M107" s="94">
        <v>0.06</v>
      </c>
      <c r="N107" s="94">
        <v>0.06</v>
      </c>
      <c r="O107" s="94">
        <v>0.06</v>
      </c>
      <c r="Q107" s="99">
        <f t="shared" si="53"/>
        <v>28874</v>
      </c>
      <c r="R107" s="99">
        <f t="shared" si="54"/>
        <v>2309.92</v>
      </c>
      <c r="S107" s="99">
        <f t="shared" si="55"/>
        <v>2021.1800000000003</v>
      </c>
      <c r="T107" s="99">
        <f t="shared" si="56"/>
        <v>2021.1800000000003</v>
      </c>
      <c r="U107" s="99">
        <f t="shared" si="57"/>
        <v>2021.1800000000003</v>
      </c>
      <c r="V107" s="99">
        <f t="shared" si="58"/>
        <v>1732.4399999999998</v>
      </c>
      <c r="W107" s="99">
        <f t="shared" si="59"/>
        <v>1732.4399999999998</v>
      </c>
      <c r="X107" s="99">
        <f t="shared" si="60"/>
        <v>1732.4399999999998</v>
      </c>
      <c r="Y107" s="99">
        <f t="shared" si="61"/>
        <v>1732.4399999999998</v>
      </c>
      <c r="Z107" s="99">
        <f t="shared" si="62"/>
        <v>1732.4399999999998</v>
      </c>
      <c r="AA107" s="64">
        <f t="shared" si="63"/>
        <v>45909.660000000011</v>
      </c>
    </row>
    <row r="108" spans="1:27" ht="26.25" thickBot="1" x14ac:dyDescent="0.3">
      <c r="A108" s="630"/>
      <c r="B108" s="633"/>
      <c r="C108" s="103" t="s">
        <v>528</v>
      </c>
      <c r="D108" s="128">
        <v>55000</v>
      </c>
      <c r="E108" s="128">
        <v>85140</v>
      </c>
      <c r="F108" s="129">
        <v>0.05</v>
      </c>
      <c r="G108" s="129">
        <v>0.06</v>
      </c>
      <c r="H108" s="129">
        <v>0.06</v>
      </c>
      <c r="I108" s="129">
        <v>7.0000000000000007E-2</v>
      </c>
      <c r="J108" s="129">
        <v>0.08</v>
      </c>
      <c r="K108" s="129">
        <v>7.0000000000000007E-2</v>
      </c>
      <c r="L108" s="129">
        <v>0.04</v>
      </c>
      <c r="M108" s="129">
        <v>0.04</v>
      </c>
      <c r="N108" s="129">
        <v>0.04</v>
      </c>
      <c r="O108" s="129">
        <v>0.04</v>
      </c>
      <c r="Q108" s="99">
        <f t="shared" si="53"/>
        <v>55000</v>
      </c>
      <c r="R108" s="99">
        <f t="shared" si="54"/>
        <v>3300</v>
      </c>
      <c r="S108" s="99">
        <f t="shared" si="55"/>
        <v>3300</v>
      </c>
      <c r="T108" s="99">
        <f t="shared" si="56"/>
        <v>3850.0000000000005</v>
      </c>
      <c r="U108" s="99">
        <f t="shared" si="57"/>
        <v>4400</v>
      </c>
      <c r="V108" s="99">
        <f t="shared" si="58"/>
        <v>3850.0000000000005</v>
      </c>
      <c r="W108" s="99">
        <f t="shared" si="59"/>
        <v>2200</v>
      </c>
      <c r="X108" s="99">
        <f t="shared" si="60"/>
        <v>2200</v>
      </c>
      <c r="Y108" s="99">
        <f t="shared" si="61"/>
        <v>2200</v>
      </c>
      <c r="Z108" s="99">
        <f t="shared" si="62"/>
        <v>2200</v>
      </c>
      <c r="AA108" s="64">
        <f t="shared" si="63"/>
        <v>82500</v>
      </c>
    </row>
    <row r="109" spans="1:27" ht="15.75" thickBot="1" x14ac:dyDescent="0.3">
      <c r="A109" s="630"/>
      <c r="B109" s="633"/>
      <c r="C109" s="86" t="s">
        <v>529</v>
      </c>
      <c r="D109" s="123">
        <v>100</v>
      </c>
      <c r="E109" s="123">
        <v>130</v>
      </c>
      <c r="F109" s="94">
        <v>0.03</v>
      </c>
      <c r="G109" s="94">
        <v>0.03</v>
      </c>
      <c r="H109" s="94">
        <v>0.03</v>
      </c>
      <c r="I109" s="94">
        <v>0.03</v>
      </c>
      <c r="J109" s="94">
        <v>0.04</v>
      </c>
      <c r="K109" s="94">
        <v>0.04</v>
      </c>
      <c r="L109" s="94">
        <v>0.03</v>
      </c>
      <c r="M109" s="94">
        <v>0.03</v>
      </c>
      <c r="N109" s="94">
        <v>0.03</v>
      </c>
      <c r="O109" s="94">
        <v>0.02</v>
      </c>
      <c r="Q109" s="99">
        <f t="shared" si="53"/>
        <v>100</v>
      </c>
      <c r="R109" s="99">
        <f t="shared" si="54"/>
        <v>3</v>
      </c>
      <c r="S109" s="99">
        <f t="shared" si="55"/>
        <v>3</v>
      </c>
      <c r="T109" s="99">
        <f t="shared" si="56"/>
        <v>3</v>
      </c>
      <c r="U109" s="99">
        <f t="shared" si="57"/>
        <v>4</v>
      </c>
      <c r="V109" s="99">
        <f t="shared" si="58"/>
        <v>4</v>
      </c>
      <c r="W109" s="99">
        <f t="shared" si="59"/>
        <v>3</v>
      </c>
      <c r="X109" s="99">
        <f t="shared" si="60"/>
        <v>3</v>
      </c>
      <c r="Y109" s="99">
        <f t="shared" si="61"/>
        <v>3</v>
      </c>
      <c r="Z109" s="99">
        <f t="shared" si="62"/>
        <v>2</v>
      </c>
      <c r="AA109" s="64">
        <f t="shared" si="63"/>
        <v>128</v>
      </c>
    </row>
    <row r="110" spans="1:27" ht="15.75" thickBot="1" x14ac:dyDescent="0.3">
      <c r="A110" s="630"/>
      <c r="B110" s="633"/>
      <c r="C110" s="86" t="s">
        <v>530</v>
      </c>
      <c r="D110" s="127">
        <v>1273</v>
      </c>
      <c r="E110" s="127">
        <v>1832</v>
      </c>
      <c r="F110" s="94">
        <v>0.05</v>
      </c>
      <c r="G110" s="94">
        <v>0.04</v>
      </c>
      <c r="H110" s="94">
        <v>0.04</v>
      </c>
      <c r="I110" s="94">
        <v>0.05</v>
      </c>
      <c r="J110" s="94">
        <v>0.05</v>
      </c>
      <c r="K110" s="94">
        <v>0.05</v>
      </c>
      <c r="L110" s="94">
        <v>0.05</v>
      </c>
      <c r="M110" s="94">
        <v>0.04</v>
      </c>
      <c r="N110" s="94">
        <v>0.04</v>
      </c>
      <c r="O110" s="94">
        <v>0.03</v>
      </c>
      <c r="Q110" s="99">
        <f t="shared" si="53"/>
        <v>1273</v>
      </c>
      <c r="R110" s="99">
        <f t="shared" si="54"/>
        <v>50.92</v>
      </c>
      <c r="S110" s="99">
        <f t="shared" si="55"/>
        <v>50.92</v>
      </c>
      <c r="T110" s="99">
        <f t="shared" si="56"/>
        <v>63.650000000000006</v>
      </c>
      <c r="U110" s="99">
        <f t="shared" si="57"/>
        <v>63.650000000000006</v>
      </c>
      <c r="V110" s="99">
        <f t="shared" si="58"/>
        <v>63.650000000000006</v>
      </c>
      <c r="W110" s="99">
        <f t="shared" si="59"/>
        <v>63.650000000000006</v>
      </c>
      <c r="X110" s="99">
        <f t="shared" si="60"/>
        <v>50.92</v>
      </c>
      <c r="Y110" s="99">
        <f t="shared" si="61"/>
        <v>50.92</v>
      </c>
      <c r="Z110" s="99">
        <f t="shared" si="62"/>
        <v>38.19</v>
      </c>
      <c r="AA110" s="64">
        <f t="shared" si="63"/>
        <v>1769.4700000000007</v>
      </c>
    </row>
    <row r="111" spans="1:27" ht="15.75" thickBot="1" x14ac:dyDescent="0.3">
      <c r="A111" s="630"/>
      <c r="B111" s="633"/>
      <c r="C111" s="86" t="s">
        <v>531</v>
      </c>
      <c r="D111" s="123">
        <v>60</v>
      </c>
      <c r="E111" s="123">
        <v>80</v>
      </c>
      <c r="F111" s="94">
        <v>0.03</v>
      </c>
      <c r="G111" s="94">
        <v>0.04</v>
      </c>
      <c r="H111" s="94">
        <v>0.04</v>
      </c>
      <c r="I111" s="94">
        <v>0.04</v>
      </c>
      <c r="J111" s="94">
        <v>0.04</v>
      </c>
      <c r="K111" s="94">
        <v>0.03</v>
      </c>
      <c r="L111" s="94">
        <v>0.03</v>
      </c>
      <c r="M111" s="94">
        <v>0.03</v>
      </c>
      <c r="N111" s="94">
        <v>0.03</v>
      </c>
      <c r="O111" s="94">
        <v>0.03</v>
      </c>
      <c r="Q111" s="99">
        <f t="shared" si="53"/>
        <v>60</v>
      </c>
      <c r="R111" s="99">
        <f t="shared" si="54"/>
        <v>2.4</v>
      </c>
      <c r="S111" s="99">
        <f t="shared" si="55"/>
        <v>2.4</v>
      </c>
      <c r="T111" s="99">
        <f t="shared" si="56"/>
        <v>2.4</v>
      </c>
      <c r="U111" s="99">
        <f t="shared" si="57"/>
        <v>2.4</v>
      </c>
      <c r="V111" s="99">
        <f t="shared" si="58"/>
        <v>1.7999999999999998</v>
      </c>
      <c r="W111" s="99">
        <f t="shared" si="59"/>
        <v>1.7999999999999998</v>
      </c>
      <c r="X111" s="99">
        <f t="shared" si="60"/>
        <v>1.7999999999999998</v>
      </c>
      <c r="Y111" s="99">
        <f t="shared" si="61"/>
        <v>1.7999999999999998</v>
      </c>
      <c r="Z111" s="99">
        <f t="shared" si="62"/>
        <v>1.7999999999999998</v>
      </c>
      <c r="AA111" s="64">
        <f t="shared" si="63"/>
        <v>78.599999999999994</v>
      </c>
    </row>
    <row r="112" spans="1:27" ht="15.75" thickBot="1" x14ac:dyDescent="0.3">
      <c r="A112" s="630"/>
      <c r="B112" s="633"/>
      <c r="C112" s="86" t="s">
        <v>532</v>
      </c>
      <c r="D112" s="123">
        <v>206</v>
      </c>
      <c r="E112" s="123">
        <v>448</v>
      </c>
      <c r="F112" s="94">
        <v>0.12</v>
      </c>
      <c r="G112" s="94">
        <v>0.11</v>
      </c>
      <c r="H112" s="94">
        <v>0.11</v>
      </c>
      <c r="I112" s="94">
        <v>0.13</v>
      </c>
      <c r="J112" s="94">
        <v>0.12</v>
      </c>
      <c r="K112" s="94">
        <v>0.12</v>
      </c>
      <c r="L112" s="94">
        <v>0.13</v>
      </c>
      <c r="M112" s="94">
        <v>0.12</v>
      </c>
      <c r="N112" s="94">
        <v>0.11</v>
      </c>
      <c r="O112" s="94">
        <v>0.11</v>
      </c>
      <c r="Q112" s="99">
        <f t="shared" si="53"/>
        <v>206</v>
      </c>
      <c r="R112" s="99">
        <f t="shared" si="54"/>
        <v>22.66</v>
      </c>
      <c r="S112" s="99">
        <f t="shared" si="55"/>
        <v>22.66</v>
      </c>
      <c r="T112" s="99">
        <f t="shared" si="56"/>
        <v>26.78</v>
      </c>
      <c r="U112" s="99">
        <f t="shared" si="57"/>
        <v>24.72</v>
      </c>
      <c r="V112" s="99">
        <f t="shared" si="58"/>
        <v>24.72</v>
      </c>
      <c r="W112" s="99">
        <f t="shared" si="59"/>
        <v>26.78</v>
      </c>
      <c r="X112" s="99">
        <f t="shared" si="60"/>
        <v>24.72</v>
      </c>
      <c r="Y112" s="99">
        <f t="shared" si="61"/>
        <v>22.66</v>
      </c>
      <c r="Z112" s="99">
        <f t="shared" si="62"/>
        <v>22.66</v>
      </c>
      <c r="AA112" s="64">
        <f t="shared" si="63"/>
        <v>424.36000000000013</v>
      </c>
    </row>
    <row r="113" spans="1:27" ht="15.75" thickBot="1" x14ac:dyDescent="0.3">
      <c r="A113" s="630"/>
      <c r="B113" s="633"/>
      <c r="C113" s="86" t="s">
        <v>533</v>
      </c>
      <c r="D113" s="123">
        <v>320</v>
      </c>
      <c r="E113" s="123">
        <v>948</v>
      </c>
      <c r="F113" s="94">
        <v>0.22</v>
      </c>
      <c r="G113" s="94">
        <v>0.17</v>
      </c>
      <c r="H113" s="94">
        <v>0.16</v>
      </c>
      <c r="I113" s="94">
        <v>0.15</v>
      </c>
      <c r="J113" s="94">
        <v>0.15</v>
      </c>
      <c r="K113" s="94">
        <v>0.19</v>
      </c>
      <c r="L113" s="94">
        <v>0.2</v>
      </c>
      <c r="M113" s="94">
        <v>0.22</v>
      </c>
      <c r="N113" s="94">
        <v>0.24</v>
      </c>
      <c r="O113" s="94">
        <v>0.26</v>
      </c>
      <c r="Q113" s="99">
        <f t="shared" si="53"/>
        <v>320</v>
      </c>
      <c r="R113" s="99">
        <f t="shared" si="54"/>
        <v>54.400000000000006</v>
      </c>
      <c r="S113" s="99">
        <f t="shared" si="55"/>
        <v>51.2</v>
      </c>
      <c r="T113" s="99">
        <f t="shared" si="56"/>
        <v>48</v>
      </c>
      <c r="U113" s="99">
        <f t="shared" si="57"/>
        <v>48</v>
      </c>
      <c r="V113" s="99">
        <f t="shared" si="58"/>
        <v>60.8</v>
      </c>
      <c r="W113" s="99">
        <f t="shared" si="59"/>
        <v>64</v>
      </c>
      <c r="X113" s="99">
        <f t="shared" si="60"/>
        <v>70.400000000000006</v>
      </c>
      <c r="Y113" s="99">
        <f t="shared" si="61"/>
        <v>76.8</v>
      </c>
      <c r="Z113" s="99">
        <f t="shared" si="62"/>
        <v>83.2</v>
      </c>
      <c r="AA113" s="64">
        <f t="shared" si="63"/>
        <v>876.79999999999984</v>
      </c>
    </row>
    <row r="114" spans="1:27" ht="15.75" thickBot="1" x14ac:dyDescent="0.3">
      <c r="A114" s="630"/>
      <c r="B114" s="633"/>
      <c r="C114" s="86" t="s">
        <v>534</v>
      </c>
      <c r="D114" s="123">
        <v>9</v>
      </c>
      <c r="E114" s="123">
        <v>129</v>
      </c>
      <c r="F114" s="94">
        <v>1.22</v>
      </c>
      <c r="G114" s="94">
        <v>1</v>
      </c>
      <c r="H114" s="94">
        <v>0.9</v>
      </c>
      <c r="I114" s="94">
        <v>2.5</v>
      </c>
      <c r="J114" s="94">
        <v>2.2999999999999998</v>
      </c>
      <c r="K114" s="94">
        <v>2</v>
      </c>
      <c r="L114" s="94">
        <v>1.7</v>
      </c>
      <c r="M114" s="94">
        <v>1.5</v>
      </c>
      <c r="N114" s="94">
        <v>0.11</v>
      </c>
      <c r="O114" s="94">
        <v>0.1</v>
      </c>
      <c r="Q114" s="99">
        <f t="shared" si="53"/>
        <v>9</v>
      </c>
      <c r="R114" s="99">
        <f t="shared" si="54"/>
        <v>9</v>
      </c>
      <c r="S114" s="99">
        <f t="shared" si="55"/>
        <v>8.1</v>
      </c>
      <c r="T114" s="99">
        <f t="shared" si="56"/>
        <v>22.5</v>
      </c>
      <c r="U114" s="99">
        <f t="shared" si="57"/>
        <v>20.7</v>
      </c>
      <c r="V114" s="99">
        <f t="shared" si="58"/>
        <v>18</v>
      </c>
      <c r="W114" s="99">
        <f t="shared" si="59"/>
        <v>15.299999999999999</v>
      </c>
      <c r="X114" s="99">
        <f t="shared" si="60"/>
        <v>13.5</v>
      </c>
      <c r="Y114" s="99">
        <f t="shared" si="61"/>
        <v>0.99</v>
      </c>
      <c r="Z114" s="99">
        <f t="shared" si="62"/>
        <v>0.9</v>
      </c>
      <c r="AA114" s="64">
        <f t="shared" si="63"/>
        <v>117.99</v>
      </c>
    </row>
    <row r="115" spans="1:27" ht="15.75" thickBot="1" x14ac:dyDescent="0.3">
      <c r="A115" s="630"/>
      <c r="B115" s="633"/>
      <c r="C115" s="130" t="s">
        <v>535</v>
      </c>
      <c r="D115" s="131">
        <v>1120</v>
      </c>
      <c r="E115" s="131">
        <v>3920</v>
      </c>
      <c r="F115" s="94">
        <v>0.3</v>
      </c>
      <c r="G115" s="94">
        <v>0.25</v>
      </c>
      <c r="H115" s="94">
        <v>0.2</v>
      </c>
      <c r="I115" s="94">
        <v>0.18</v>
      </c>
      <c r="J115" s="94">
        <v>0.2</v>
      </c>
      <c r="K115" s="94">
        <v>0.22</v>
      </c>
      <c r="L115" s="94">
        <v>0.24</v>
      </c>
      <c r="M115" s="94">
        <v>0.26</v>
      </c>
      <c r="N115" s="94">
        <v>0.3</v>
      </c>
      <c r="O115" s="94">
        <v>0.35</v>
      </c>
      <c r="Q115" s="99">
        <f t="shared" si="53"/>
        <v>1120</v>
      </c>
      <c r="R115" s="99">
        <f t="shared" si="54"/>
        <v>280</v>
      </c>
      <c r="S115" s="99">
        <f t="shared" si="55"/>
        <v>224</v>
      </c>
      <c r="T115" s="99">
        <f t="shared" si="56"/>
        <v>201.6</v>
      </c>
      <c r="U115" s="99">
        <f t="shared" si="57"/>
        <v>224</v>
      </c>
      <c r="V115" s="99">
        <f t="shared" si="58"/>
        <v>246.4</v>
      </c>
      <c r="W115" s="99">
        <f t="shared" si="59"/>
        <v>268.8</v>
      </c>
      <c r="X115" s="99">
        <f t="shared" si="60"/>
        <v>291.2</v>
      </c>
      <c r="Y115" s="99">
        <f t="shared" si="61"/>
        <v>336</v>
      </c>
      <c r="Z115" s="99">
        <f t="shared" si="62"/>
        <v>392</v>
      </c>
      <c r="AA115" s="64">
        <f t="shared" si="63"/>
        <v>3584</v>
      </c>
    </row>
    <row r="116" spans="1:27" ht="15.75" thickBot="1" x14ac:dyDescent="0.3">
      <c r="A116" s="630"/>
      <c r="B116" s="633"/>
      <c r="C116" s="86" t="s">
        <v>536</v>
      </c>
      <c r="D116" s="131">
        <v>184</v>
      </c>
      <c r="E116" s="131">
        <v>317</v>
      </c>
      <c r="F116" s="94">
        <v>0.08</v>
      </c>
      <c r="G116" s="94">
        <v>7.0000000000000007E-2</v>
      </c>
      <c r="H116" s="94">
        <v>7.0000000000000007E-2</v>
      </c>
      <c r="I116" s="94">
        <v>7.0000000000000007E-2</v>
      </c>
      <c r="J116" s="94">
        <v>0.06</v>
      </c>
      <c r="K116" s="94">
        <v>0.06</v>
      </c>
      <c r="L116" s="94">
        <v>7.0000000000000007E-2</v>
      </c>
      <c r="M116" s="94">
        <v>7.0000000000000007E-2</v>
      </c>
      <c r="N116" s="94">
        <v>0.08</v>
      </c>
      <c r="O116" s="94">
        <v>0.1</v>
      </c>
      <c r="Q116" s="99">
        <f t="shared" si="53"/>
        <v>184</v>
      </c>
      <c r="R116" s="99">
        <f t="shared" si="54"/>
        <v>12.88</v>
      </c>
      <c r="S116" s="99">
        <f t="shared" si="55"/>
        <v>12.88</v>
      </c>
      <c r="T116" s="99">
        <f t="shared" si="56"/>
        <v>12.88</v>
      </c>
      <c r="U116" s="99">
        <f t="shared" si="57"/>
        <v>11.04</v>
      </c>
      <c r="V116" s="99">
        <f t="shared" si="58"/>
        <v>11.04</v>
      </c>
      <c r="W116" s="99">
        <f t="shared" si="59"/>
        <v>12.88</v>
      </c>
      <c r="X116" s="99">
        <f t="shared" si="60"/>
        <v>12.88</v>
      </c>
      <c r="Y116" s="99">
        <f t="shared" si="61"/>
        <v>14.72</v>
      </c>
      <c r="Z116" s="99">
        <f t="shared" si="62"/>
        <v>18.400000000000002</v>
      </c>
      <c r="AA116" s="64">
        <f t="shared" si="63"/>
        <v>303.59999999999997</v>
      </c>
    </row>
    <row r="117" spans="1:27" ht="26.25" thickBot="1" x14ac:dyDescent="0.3">
      <c r="A117" s="630"/>
      <c r="B117" s="633"/>
      <c r="C117" s="86" t="s">
        <v>537</v>
      </c>
      <c r="D117" s="123">
        <v>3</v>
      </c>
      <c r="E117" s="123" t="s">
        <v>538</v>
      </c>
      <c r="F117" s="94">
        <v>1</v>
      </c>
      <c r="G117" s="94">
        <v>0</v>
      </c>
      <c r="H117" s="94">
        <v>0</v>
      </c>
      <c r="I117" s="94">
        <v>0</v>
      </c>
      <c r="J117" s="94">
        <v>0</v>
      </c>
      <c r="K117" s="94">
        <v>0</v>
      </c>
      <c r="L117" s="94">
        <v>0</v>
      </c>
      <c r="M117" s="94">
        <v>0</v>
      </c>
      <c r="N117" s="94">
        <v>0</v>
      </c>
      <c r="O117" s="94">
        <v>0</v>
      </c>
      <c r="Q117" s="99">
        <f t="shared" si="53"/>
        <v>3</v>
      </c>
      <c r="R117" s="99">
        <f t="shared" si="54"/>
        <v>0</v>
      </c>
      <c r="S117" s="99">
        <f t="shared" si="55"/>
        <v>0</v>
      </c>
      <c r="T117" s="99">
        <f t="shared" si="56"/>
        <v>0</v>
      </c>
      <c r="U117" s="99">
        <f t="shared" si="57"/>
        <v>0</v>
      </c>
      <c r="V117" s="99">
        <f t="shared" si="58"/>
        <v>0</v>
      </c>
      <c r="W117" s="99">
        <f t="shared" si="59"/>
        <v>0</v>
      </c>
      <c r="X117" s="99">
        <f t="shared" si="60"/>
        <v>0</v>
      </c>
      <c r="Y117" s="99">
        <f t="shared" si="61"/>
        <v>0</v>
      </c>
      <c r="Z117" s="99">
        <f t="shared" si="62"/>
        <v>0</v>
      </c>
      <c r="AA117" s="64">
        <f t="shared" si="63"/>
        <v>3</v>
      </c>
    </row>
    <row r="118" spans="1:27" ht="15.75" thickBot="1" x14ac:dyDescent="0.3">
      <c r="A118" s="630"/>
      <c r="B118" s="633"/>
      <c r="C118" s="86" t="s">
        <v>539</v>
      </c>
      <c r="D118" s="123">
        <v>117</v>
      </c>
      <c r="E118" s="123">
        <v>127</v>
      </c>
      <c r="F118" s="94">
        <v>0.01</v>
      </c>
      <c r="G118" s="94">
        <v>0.01</v>
      </c>
      <c r="H118" s="94">
        <v>0.01</v>
      </c>
      <c r="I118" s="94">
        <v>0.01</v>
      </c>
      <c r="J118" s="94">
        <v>0.01</v>
      </c>
      <c r="K118" s="94">
        <v>0.01</v>
      </c>
      <c r="L118" s="94">
        <v>0.01</v>
      </c>
      <c r="M118" s="94">
        <v>0.01</v>
      </c>
      <c r="N118" s="94">
        <v>0.01</v>
      </c>
      <c r="O118" s="94">
        <v>0.01</v>
      </c>
      <c r="Q118" s="99">
        <f t="shared" si="53"/>
        <v>117</v>
      </c>
      <c r="R118" s="99">
        <f t="shared" si="54"/>
        <v>1.17</v>
      </c>
      <c r="S118" s="99">
        <f t="shared" si="55"/>
        <v>1.17</v>
      </c>
      <c r="T118" s="99">
        <f t="shared" si="56"/>
        <v>1.17</v>
      </c>
      <c r="U118" s="99">
        <f t="shared" si="57"/>
        <v>1.17</v>
      </c>
      <c r="V118" s="99">
        <f t="shared" si="58"/>
        <v>1.17</v>
      </c>
      <c r="W118" s="99">
        <f t="shared" si="59"/>
        <v>1.17</v>
      </c>
      <c r="X118" s="99">
        <f t="shared" si="60"/>
        <v>1.17</v>
      </c>
      <c r="Y118" s="99">
        <f t="shared" si="61"/>
        <v>1.17</v>
      </c>
      <c r="Z118" s="99">
        <f t="shared" si="62"/>
        <v>1.17</v>
      </c>
      <c r="AA118" s="64">
        <f t="shared" si="63"/>
        <v>127.53000000000002</v>
      </c>
    </row>
    <row r="119" spans="1:27" ht="15.75" thickBot="1" x14ac:dyDescent="0.3">
      <c r="A119" s="630"/>
      <c r="B119" s="633"/>
      <c r="C119" s="86" t="s">
        <v>540</v>
      </c>
      <c r="D119" s="131">
        <v>60</v>
      </c>
      <c r="E119" s="131">
        <v>78</v>
      </c>
      <c r="F119" s="94">
        <v>0.03</v>
      </c>
      <c r="G119" s="94">
        <v>0.03</v>
      </c>
      <c r="H119" s="94">
        <v>0.03</v>
      </c>
      <c r="I119" s="94">
        <v>0.03</v>
      </c>
      <c r="J119" s="94">
        <v>0.03</v>
      </c>
      <c r="K119" s="94">
        <v>0.03</v>
      </c>
      <c r="L119" s="94">
        <v>0.03</v>
      </c>
      <c r="M119" s="94">
        <v>0.03</v>
      </c>
      <c r="N119" s="94">
        <v>0.03</v>
      </c>
      <c r="O119" s="94">
        <v>0.04</v>
      </c>
      <c r="Q119" s="99">
        <f t="shared" si="53"/>
        <v>60</v>
      </c>
      <c r="R119" s="99">
        <f t="shared" si="54"/>
        <v>1.7999999999999998</v>
      </c>
      <c r="S119" s="99">
        <f t="shared" si="55"/>
        <v>1.7999999999999998</v>
      </c>
      <c r="T119" s="99">
        <f t="shared" si="56"/>
        <v>1.7999999999999998</v>
      </c>
      <c r="U119" s="99">
        <f t="shared" si="57"/>
        <v>1.7999999999999998</v>
      </c>
      <c r="V119" s="99">
        <f t="shared" si="58"/>
        <v>1.7999999999999998</v>
      </c>
      <c r="W119" s="99">
        <f t="shared" si="59"/>
        <v>1.7999999999999998</v>
      </c>
      <c r="X119" s="99">
        <f t="shared" si="60"/>
        <v>1.7999999999999998</v>
      </c>
      <c r="Y119" s="99">
        <f t="shared" si="61"/>
        <v>1.7999999999999998</v>
      </c>
      <c r="Z119" s="99">
        <f t="shared" si="62"/>
        <v>2.4</v>
      </c>
      <c r="AA119" s="64">
        <f t="shared" si="63"/>
        <v>76.799999999999983</v>
      </c>
    </row>
    <row r="120" spans="1:27" ht="15.75" thickBot="1" x14ac:dyDescent="0.3">
      <c r="A120" s="630"/>
      <c r="B120" s="633"/>
      <c r="C120" s="86" t="s">
        <v>541</v>
      </c>
      <c r="D120" s="131">
        <v>54</v>
      </c>
      <c r="E120" s="131">
        <v>71</v>
      </c>
      <c r="F120" s="94">
        <v>0.03</v>
      </c>
      <c r="G120" s="94">
        <v>0.03</v>
      </c>
      <c r="H120" s="94">
        <v>0.03</v>
      </c>
      <c r="I120" s="94">
        <v>0.03</v>
      </c>
      <c r="J120" s="94">
        <v>0.03</v>
      </c>
      <c r="K120" s="94">
        <v>0.03</v>
      </c>
      <c r="L120" s="94">
        <v>0.03</v>
      </c>
      <c r="M120" s="94">
        <v>0.04</v>
      </c>
      <c r="N120" s="94">
        <v>0.04</v>
      </c>
      <c r="O120" s="94">
        <v>0.03</v>
      </c>
      <c r="Q120" s="99">
        <f t="shared" si="53"/>
        <v>54</v>
      </c>
      <c r="R120" s="99">
        <f t="shared" si="54"/>
        <v>1.6199999999999999</v>
      </c>
      <c r="S120" s="99">
        <f t="shared" si="55"/>
        <v>1.6199999999999999</v>
      </c>
      <c r="T120" s="99">
        <f t="shared" si="56"/>
        <v>1.6199999999999999</v>
      </c>
      <c r="U120" s="99">
        <f t="shared" si="57"/>
        <v>1.6199999999999999</v>
      </c>
      <c r="V120" s="99">
        <f t="shared" si="58"/>
        <v>1.6199999999999999</v>
      </c>
      <c r="W120" s="99">
        <f t="shared" si="59"/>
        <v>1.6199999999999999</v>
      </c>
      <c r="X120" s="99">
        <f t="shared" si="60"/>
        <v>2.16</v>
      </c>
      <c r="Y120" s="99">
        <f t="shared" si="61"/>
        <v>2.16</v>
      </c>
      <c r="Z120" s="99">
        <f t="shared" si="62"/>
        <v>1.6199999999999999</v>
      </c>
      <c r="AA120" s="64">
        <f t="shared" si="63"/>
        <v>69.659999999999982</v>
      </c>
    </row>
    <row r="121" spans="1:27" ht="15.75" thickBot="1" x14ac:dyDescent="0.3">
      <c r="A121" s="630"/>
      <c r="B121" s="633"/>
      <c r="C121" s="86" t="s">
        <v>542</v>
      </c>
      <c r="D121" s="123">
        <v>299</v>
      </c>
      <c r="E121" s="123">
        <v>399</v>
      </c>
      <c r="F121" s="94">
        <v>0.03</v>
      </c>
      <c r="G121" s="94">
        <v>0.03</v>
      </c>
      <c r="H121" s="94">
        <v>0.03</v>
      </c>
      <c r="I121" s="94">
        <v>0.04</v>
      </c>
      <c r="J121" s="94">
        <v>0.05</v>
      </c>
      <c r="K121" s="94">
        <v>0.04</v>
      </c>
      <c r="L121" s="94">
        <v>0.03</v>
      </c>
      <c r="M121" s="94">
        <v>0.03</v>
      </c>
      <c r="N121" s="94">
        <v>0.03</v>
      </c>
      <c r="O121" s="94">
        <v>0.03</v>
      </c>
      <c r="Q121" s="99">
        <f t="shared" si="53"/>
        <v>299</v>
      </c>
      <c r="R121" s="99">
        <f t="shared" si="54"/>
        <v>8.9699999999999989</v>
      </c>
      <c r="S121" s="99">
        <f t="shared" si="55"/>
        <v>8.9699999999999989</v>
      </c>
      <c r="T121" s="99">
        <f t="shared" si="56"/>
        <v>11.96</v>
      </c>
      <c r="U121" s="99">
        <f t="shared" si="57"/>
        <v>14.950000000000001</v>
      </c>
      <c r="V121" s="99">
        <f t="shared" si="58"/>
        <v>11.96</v>
      </c>
      <c r="W121" s="99">
        <f t="shared" si="59"/>
        <v>8.9699999999999989</v>
      </c>
      <c r="X121" s="99">
        <f t="shared" si="60"/>
        <v>8.9699999999999989</v>
      </c>
      <c r="Y121" s="99">
        <f t="shared" si="61"/>
        <v>8.9699999999999989</v>
      </c>
      <c r="Z121" s="99">
        <f t="shared" si="62"/>
        <v>8.9699999999999989</v>
      </c>
      <c r="AA121" s="64">
        <f t="shared" si="63"/>
        <v>391.69000000000005</v>
      </c>
    </row>
    <row r="122" spans="1:27" ht="15.75" thickBot="1" x14ac:dyDescent="0.3">
      <c r="A122" s="630"/>
      <c r="B122" s="633"/>
      <c r="C122" s="86" t="s">
        <v>543</v>
      </c>
      <c r="D122" s="131">
        <v>58</v>
      </c>
      <c r="E122" s="131">
        <v>98</v>
      </c>
      <c r="F122" s="94">
        <v>0.08</v>
      </c>
      <c r="G122" s="94">
        <v>7.0000000000000007E-2</v>
      </c>
      <c r="H122" s="94">
        <v>0.06</v>
      </c>
      <c r="I122" s="94">
        <v>0.05</v>
      </c>
      <c r="J122" s="94">
        <v>0.06</v>
      </c>
      <c r="K122" s="94">
        <v>0.06</v>
      </c>
      <c r="L122" s="94">
        <v>0.08</v>
      </c>
      <c r="M122" s="94">
        <v>0.08</v>
      </c>
      <c r="N122" s="94">
        <v>0.08</v>
      </c>
      <c r="O122" s="94">
        <v>7.0000000000000007E-2</v>
      </c>
      <c r="Q122" s="99">
        <f t="shared" si="53"/>
        <v>58</v>
      </c>
      <c r="R122" s="99">
        <f t="shared" si="54"/>
        <v>4.0600000000000005</v>
      </c>
      <c r="S122" s="99">
        <f t="shared" si="55"/>
        <v>3.48</v>
      </c>
      <c r="T122" s="99">
        <f t="shared" si="56"/>
        <v>2.9000000000000004</v>
      </c>
      <c r="U122" s="99">
        <f t="shared" si="57"/>
        <v>3.48</v>
      </c>
      <c r="V122" s="99">
        <f t="shared" si="58"/>
        <v>3.48</v>
      </c>
      <c r="W122" s="99">
        <f t="shared" si="59"/>
        <v>4.6399999999999997</v>
      </c>
      <c r="X122" s="99">
        <f t="shared" si="60"/>
        <v>4.6399999999999997</v>
      </c>
      <c r="Y122" s="99">
        <f t="shared" si="61"/>
        <v>4.6399999999999997</v>
      </c>
      <c r="Z122" s="99">
        <f t="shared" si="62"/>
        <v>4.0600000000000005</v>
      </c>
      <c r="AA122" s="64">
        <f t="shared" si="63"/>
        <v>93.380000000000024</v>
      </c>
    </row>
    <row r="123" spans="1:27" ht="15.75" thickBot="1" x14ac:dyDescent="0.3">
      <c r="A123" s="630"/>
      <c r="B123" s="633"/>
      <c r="C123" s="86" t="s">
        <v>544</v>
      </c>
      <c r="D123" s="131">
        <v>120</v>
      </c>
      <c r="E123" s="131">
        <v>600</v>
      </c>
      <c r="F123" s="94">
        <v>0.4</v>
      </c>
      <c r="G123" s="94">
        <v>0.5</v>
      </c>
      <c r="H123" s="94">
        <v>0.6</v>
      </c>
      <c r="I123" s="94">
        <v>0.5</v>
      </c>
      <c r="J123" s="94">
        <v>0.5</v>
      </c>
      <c r="K123" s="94">
        <v>0.4</v>
      </c>
      <c r="L123" s="94">
        <v>0.4</v>
      </c>
      <c r="M123" s="94">
        <v>0.4</v>
      </c>
      <c r="N123" s="94">
        <v>0.3</v>
      </c>
      <c r="O123" s="94">
        <v>0.3</v>
      </c>
      <c r="Q123" s="99">
        <f t="shared" si="53"/>
        <v>120</v>
      </c>
      <c r="R123" s="99">
        <f t="shared" si="54"/>
        <v>60</v>
      </c>
      <c r="S123" s="99">
        <f t="shared" si="55"/>
        <v>72</v>
      </c>
      <c r="T123" s="99">
        <f t="shared" si="56"/>
        <v>60</v>
      </c>
      <c r="U123" s="99">
        <f t="shared" si="57"/>
        <v>60</v>
      </c>
      <c r="V123" s="99">
        <f t="shared" si="58"/>
        <v>48</v>
      </c>
      <c r="W123" s="99">
        <f t="shared" si="59"/>
        <v>48</v>
      </c>
      <c r="X123" s="99">
        <f t="shared" si="60"/>
        <v>48</v>
      </c>
      <c r="Y123" s="99">
        <f t="shared" si="61"/>
        <v>36</v>
      </c>
      <c r="Z123" s="99">
        <f t="shared" si="62"/>
        <v>36</v>
      </c>
      <c r="AA123" s="64">
        <f t="shared" si="63"/>
        <v>588</v>
      </c>
    </row>
    <row r="124" spans="1:27" ht="15.75" thickBot="1" x14ac:dyDescent="0.3">
      <c r="A124" s="630"/>
      <c r="B124" s="633"/>
      <c r="C124" s="86" t="s">
        <v>545</v>
      </c>
      <c r="D124" s="123">
        <v>60</v>
      </c>
      <c r="E124" s="123">
        <v>117</v>
      </c>
      <c r="F124" s="94">
        <v>1</v>
      </c>
      <c r="G124" s="94">
        <v>0</v>
      </c>
      <c r="H124" s="94">
        <v>0</v>
      </c>
      <c r="I124" s="94">
        <v>0</v>
      </c>
      <c r="J124" s="94">
        <v>0</v>
      </c>
      <c r="K124" s="94">
        <v>0</v>
      </c>
      <c r="L124" s="94">
        <v>0</v>
      </c>
      <c r="M124" s="94">
        <v>0</v>
      </c>
      <c r="N124" s="94">
        <v>0</v>
      </c>
      <c r="O124" s="94">
        <v>0</v>
      </c>
      <c r="Q124" s="99">
        <f t="shared" si="53"/>
        <v>60</v>
      </c>
      <c r="R124" s="99">
        <f t="shared" si="54"/>
        <v>0</v>
      </c>
      <c r="S124" s="99">
        <f t="shared" si="55"/>
        <v>0</v>
      </c>
      <c r="T124" s="99">
        <f t="shared" si="56"/>
        <v>0</v>
      </c>
      <c r="U124" s="99">
        <f t="shared" si="57"/>
        <v>0</v>
      </c>
      <c r="V124" s="99">
        <f t="shared" si="58"/>
        <v>0</v>
      </c>
      <c r="W124" s="99">
        <f t="shared" si="59"/>
        <v>0</v>
      </c>
      <c r="X124" s="99">
        <f t="shared" si="60"/>
        <v>0</v>
      </c>
      <c r="Y124" s="99">
        <f t="shared" si="61"/>
        <v>0</v>
      </c>
      <c r="Z124" s="99">
        <f t="shared" si="62"/>
        <v>0</v>
      </c>
      <c r="AA124" s="64">
        <f t="shared" si="63"/>
        <v>60</v>
      </c>
    </row>
    <row r="125" spans="1:27" ht="39" thickBot="1" x14ac:dyDescent="0.3">
      <c r="A125" s="630"/>
      <c r="B125" s="634"/>
      <c r="C125" s="86" t="s">
        <v>546</v>
      </c>
      <c r="D125" s="123">
        <v>0</v>
      </c>
      <c r="E125" s="126">
        <v>1</v>
      </c>
      <c r="F125" s="94">
        <v>1</v>
      </c>
      <c r="G125" s="94">
        <v>0</v>
      </c>
      <c r="H125" s="94">
        <v>0</v>
      </c>
      <c r="I125" s="94">
        <v>0</v>
      </c>
      <c r="J125" s="94">
        <v>0</v>
      </c>
      <c r="K125" s="94">
        <v>0</v>
      </c>
      <c r="L125" s="94">
        <v>0</v>
      </c>
      <c r="M125" s="94">
        <v>0</v>
      </c>
      <c r="N125" s="94">
        <v>0</v>
      </c>
      <c r="O125" s="94">
        <v>0</v>
      </c>
      <c r="Q125" s="99">
        <f t="shared" si="53"/>
        <v>0</v>
      </c>
      <c r="R125" s="99">
        <f t="shared" si="54"/>
        <v>0</v>
      </c>
      <c r="S125" s="99">
        <f t="shared" si="55"/>
        <v>0</v>
      </c>
      <c r="T125" s="99">
        <f t="shared" si="56"/>
        <v>0</v>
      </c>
      <c r="U125" s="99">
        <f t="shared" si="57"/>
        <v>0</v>
      </c>
      <c r="V125" s="99">
        <f t="shared" si="58"/>
        <v>0</v>
      </c>
      <c r="W125" s="99">
        <f t="shared" si="59"/>
        <v>0</v>
      </c>
      <c r="X125" s="99">
        <f t="shared" si="60"/>
        <v>0</v>
      </c>
      <c r="Y125" s="99">
        <f t="shared" si="61"/>
        <v>0</v>
      </c>
      <c r="Z125" s="99">
        <f t="shared" si="62"/>
        <v>0</v>
      </c>
      <c r="AA125" s="64">
        <f t="shared" si="63"/>
        <v>0</v>
      </c>
    </row>
    <row r="126" spans="1:27" ht="39" thickBot="1" x14ac:dyDescent="0.3">
      <c r="A126" s="630"/>
      <c r="B126" s="132" t="s">
        <v>547</v>
      </c>
      <c r="C126" s="133" t="s">
        <v>548</v>
      </c>
      <c r="D126" s="126">
        <v>1</v>
      </c>
      <c r="E126" s="126">
        <v>1</v>
      </c>
      <c r="F126" s="117">
        <v>0</v>
      </c>
      <c r="G126" s="117">
        <v>0</v>
      </c>
      <c r="H126" s="117">
        <v>0</v>
      </c>
      <c r="I126" s="117">
        <v>0</v>
      </c>
      <c r="J126" s="117">
        <v>0</v>
      </c>
      <c r="K126" s="117">
        <v>0</v>
      </c>
      <c r="L126" s="117">
        <v>0</v>
      </c>
      <c r="M126" s="117">
        <v>0</v>
      </c>
      <c r="N126" s="117">
        <v>0</v>
      </c>
      <c r="O126" s="117">
        <v>0</v>
      </c>
      <c r="Q126" s="99">
        <f t="shared" si="53"/>
        <v>1</v>
      </c>
      <c r="R126" s="99">
        <f t="shared" si="54"/>
        <v>0</v>
      </c>
      <c r="S126" s="99">
        <f t="shared" si="55"/>
        <v>0</v>
      </c>
      <c r="T126" s="99">
        <f t="shared" si="56"/>
        <v>0</v>
      </c>
      <c r="U126" s="99">
        <f t="shared" si="57"/>
        <v>0</v>
      </c>
      <c r="V126" s="99">
        <f t="shared" si="58"/>
        <v>0</v>
      </c>
      <c r="W126" s="99">
        <f t="shared" si="59"/>
        <v>0</v>
      </c>
      <c r="X126" s="99">
        <f t="shared" si="60"/>
        <v>0</v>
      </c>
      <c r="Y126" s="99">
        <f t="shared" si="61"/>
        <v>0</v>
      </c>
      <c r="Z126" s="99">
        <f t="shared" si="62"/>
        <v>0</v>
      </c>
      <c r="AA126" s="64">
        <f t="shared" si="63"/>
        <v>1</v>
      </c>
    </row>
    <row r="127" spans="1:27" ht="39" thickBot="1" x14ac:dyDescent="0.3">
      <c r="A127" s="630"/>
      <c r="B127" s="90" t="s">
        <v>549</v>
      </c>
      <c r="C127" s="133" t="s">
        <v>550</v>
      </c>
      <c r="D127" s="126">
        <v>0</v>
      </c>
      <c r="E127" s="126">
        <v>1</v>
      </c>
      <c r="F127" s="117">
        <v>0.3</v>
      </c>
      <c r="G127" s="117">
        <v>0.7</v>
      </c>
      <c r="H127" s="117">
        <v>0</v>
      </c>
      <c r="I127" s="117">
        <v>0</v>
      </c>
      <c r="J127" s="117">
        <v>0</v>
      </c>
      <c r="K127" s="117">
        <v>0</v>
      </c>
      <c r="L127" s="117">
        <v>0</v>
      </c>
      <c r="M127" s="117">
        <v>0</v>
      </c>
      <c r="N127" s="117">
        <v>0</v>
      </c>
      <c r="O127" s="117">
        <v>0</v>
      </c>
      <c r="Q127" s="99">
        <f t="shared" si="53"/>
        <v>0</v>
      </c>
      <c r="R127" s="99">
        <f t="shared" si="54"/>
        <v>0</v>
      </c>
      <c r="S127" s="99">
        <f t="shared" si="55"/>
        <v>0</v>
      </c>
      <c r="T127" s="99">
        <f t="shared" si="56"/>
        <v>0</v>
      </c>
      <c r="U127" s="99">
        <f t="shared" si="57"/>
        <v>0</v>
      </c>
      <c r="V127" s="99">
        <f t="shared" si="58"/>
        <v>0</v>
      </c>
      <c r="W127" s="99">
        <f t="shared" si="59"/>
        <v>0</v>
      </c>
      <c r="X127" s="99">
        <f t="shared" si="60"/>
        <v>0</v>
      </c>
      <c r="Y127" s="99">
        <f t="shared" si="61"/>
        <v>0</v>
      </c>
      <c r="Z127" s="99">
        <f t="shared" si="62"/>
        <v>0</v>
      </c>
      <c r="AA127" s="64">
        <f t="shared" si="63"/>
        <v>0</v>
      </c>
    </row>
    <row r="128" spans="1:27" ht="26.25" thickBot="1" x14ac:dyDescent="0.3">
      <c r="A128" s="630"/>
      <c r="B128" s="632" t="s">
        <v>551</v>
      </c>
      <c r="C128" s="86" t="s">
        <v>552</v>
      </c>
      <c r="D128" s="123">
        <v>0</v>
      </c>
      <c r="E128" s="126">
        <v>1</v>
      </c>
      <c r="F128" s="94">
        <v>1</v>
      </c>
      <c r="G128" s="94">
        <v>0</v>
      </c>
      <c r="H128" s="94">
        <v>0</v>
      </c>
      <c r="I128" s="94">
        <v>0</v>
      </c>
      <c r="J128" s="94">
        <v>0</v>
      </c>
      <c r="K128" s="94">
        <v>0</v>
      </c>
      <c r="L128" s="94">
        <v>0</v>
      </c>
      <c r="M128" s="94">
        <v>0</v>
      </c>
      <c r="N128" s="94">
        <v>0</v>
      </c>
      <c r="O128" s="94">
        <v>0</v>
      </c>
      <c r="Q128" s="99">
        <f t="shared" si="53"/>
        <v>0</v>
      </c>
      <c r="R128" s="99">
        <f t="shared" si="54"/>
        <v>0</v>
      </c>
      <c r="S128" s="99">
        <f t="shared" si="55"/>
        <v>0</v>
      </c>
      <c r="T128" s="99">
        <f t="shared" si="56"/>
        <v>0</v>
      </c>
      <c r="U128" s="99">
        <f t="shared" si="57"/>
        <v>0</v>
      </c>
      <c r="V128" s="99">
        <f t="shared" si="58"/>
        <v>0</v>
      </c>
      <c r="W128" s="99">
        <f t="shared" si="59"/>
        <v>0</v>
      </c>
      <c r="X128" s="99">
        <f t="shared" si="60"/>
        <v>0</v>
      </c>
      <c r="Y128" s="99">
        <f t="shared" si="61"/>
        <v>0</v>
      </c>
      <c r="Z128" s="99">
        <f t="shared" si="62"/>
        <v>0</v>
      </c>
      <c r="AA128" s="64">
        <f t="shared" si="63"/>
        <v>0</v>
      </c>
    </row>
    <row r="129" spans="1:27" ht="15.75" thickBot="1" x14ac:dyDescent="0.3">
      <c r="A129" s="630"/>
      <c r="B129" s="633"/>
      <c r="C129" s="86" t="s">
        <v>553</v>
      </c>
      <c r="D129" s="123">
        <v>0</v>
      </c>
      <c r="E129" s="126">
        <v>1</v>
      </c>
      <c r="F129" s="94">
        <v>0</v>
      </c>
      <c r="G129" s="94">
        <v>0</v>
      </c>
      <c r="H129" s="94">
        <v>0</v>
      </c>
      <c r="I129" s="94">
        <v>0</v>
      </c>
      <c r="J129" s="94">
        <v>0</v>
      </c>
      <c r="K129" s="94">
        <v>0</v>
      </c>
      <c r="L129" s="94">
        <v>0</v>
      </c>
      <c r="M129" s="94">
        <v>0</v>
      </c>
      <c r="N129" s="94">
        <v>0</v>
      </c>
      <c r="O129" s="94">
        <v>0</v>
      </c>
      <c r="Q129" s="99">
        <f t="shared" si="53"/>
        <v>0</v>
      </c>
      <c r="R129" s="99">
        <f t="shared" si="54"/>
        <v>0</v>
      </c>
      <c r="S129" s="99">
        <f t="shared" si="55"/>
        <v>0</v>
      </c>
      <c r="T129" s="99">
        <f t="shared" si="56"/>
        <v>0</v>
      </c>
      <c r="U129" s="99">
        <f t="shared" si="57"/>
        <v>0</v>
      </c>
      <c r="V129" s="99">
        <f t="shared" si="58"/>
        <v>0</v>
      </c>
      <c r="W129" s="99">
        <f t="shared" si="59"/>
        <v>0</v>
      </c>
      <c r="X129" s="99">
        <f t="shared" si="60"/>
        <v>0</v>
      </c>
      <c r="Y129" s="99">
        <f t="shared" si="61"/>
        <v>0</v>
      </c>
      <c r="Z129" s="99">
        <f t="shared" si="62"/>
        <v>0</v>
      </c>
      <c r="AA129" s="64">
        <f t="shared" si="63"/>
        <v>0</v>
      </c>
    </row>
    <row r="130" spans="1:27" ht="39" thickBot="1" x14ac:dyDescent="0.3">
      <c r="A130" s="630"/>
      <c r="B130" s="635"/>
      <c r="C130" s="86" t="s">
        <v>554</v>
      </c>
      <c r="D130" s="123">
        <v>0</v>
      </c>
      <c r="E130" s="126">
        <v>1</v>
      </c>
      <c r="F130" s="94">
        <v>0.5</v>
      </c>
      <c r="G130" s="94">
        <v>0.45</v>
      </c>
      <c r="H130" s="94">
        <v>0.05</v>
      </c>
      <c r="I130" s="94">
        <v>0</v>
      </c>
      <c r="J130" s="94">
        <v>0</v>
      </c>
      <c r="K130" s="94">
        <v>0</v>
      </c>
      <c r="L130" s="94">
        <v>0</v>
      </c>
      <c r="M130" s="94">
        <v>0</v>
      </c>
      <c r="N130" s="94">
        <v>0</v>
      </c>
      <c r="O130" s="94">
        <v>0</v>
      </c>
      <c r="Q130" s="99">
        <f t="shared" si="53"/>
        <v>0</v>
      </c>
      <c r="R130" s="99">
        <f t="shared" si="54"/>
        <v>0</v>
      </c>
      <c r="S130" s="99">
        <f t="shared" si="55"/>
        <v>0</v>
      </c>
      <c r="T130" s="99">
        <f t="shared" si="56"/>
        <v>0</v>
      </c>
      <c r="U130" s="99">
        <f t="shared" si="57"/>
        <v>0</v>
      </c>
      <c r="V130" s="99">
        <f t="shared" si="58"/>
        <v>0</v>
      </c>
      <c r="W130" s="99">
        <f t="shared" si="59"/>
        <v>0</v>
      </c>
      <c r="X130" s="99">
        <f t="shared" si="60"/>
        <v>0</v>
      </c>
      <c r="Y130" s="99">
        <f t="shared" si="61"/>
        <v>0</v>
      </c>
      <c r="Z130" s="99">
        <f t="shared" si="62"/>
        <v>0</v>
      </c>
      <c r="AA130" s="64">
        <f t="shared" si="63"/>
        <v>0</v>
      </c>
    </row>
    <row r="131" spans="1:27" ht="39" thickBot="1" x14ac:dyDescent="0.3">
      <c r="A131" s="630"/>
      <c r="B131" s="85" t="s">
        <v>555</v>
      </c>
      <c r="C131" s="86" t="s">
        <v>556</v>
      </c>
      <c r="D131" s="123">
        <v>0</v>
      </c>
      <c r="E131" s="126">
        <v>1</v>
      </c>
      <c r="F131" s="94">
        <v>0.5</v>
      </c>
      <c r="G131" s="94">
        <v>0.45</v>
      </c>
      <c r="H131" s="94">
        <v>0.05</v>
      </c>
      <c r="I131" s="94">
        <v>0</v>
      </c>
      <c r="J131" s="94">
        <v>0</v>
      </c>
      <c r="K131" s="94">
        <v>0</v>
      </c>
      <c r="L131" s="94">
        <v>0</v>
      </c>
      <c r="M131" s="94">
        <v>0</v>
      </c>
      <c r="N131" s="94">
        <v>0</v>
      </c>
      <c r="O131" s="94">
        <v>0</v>
      </c>
      <c r="Q131" s="99">
        <f t="shared" si="53"/>
        <v>0</v>
      </c>
      <c r="R131" s="99">
        <f t="shared" si="54"/>
        <v>0</v>
      </c>
      <c r="S131" s="99">
        <f t="shared" si="55"/>
        <v>0</v>
      </c>
      <c r="T131" s="99">
        <f t="shared" si="56"/>
        <v>0</v>
      </c>
      <c r="U131" s="99">
        <f t="shared" si="57"/>
        <v>0</v>
      </c>
      <c r="V131" s="99">
        <f t="shared" si="58"/>
        <v>0</v>
      </c>
      <c r="W131" s="99">
        <f t="shared" si="59"/>
        <v>0</v>
      </c>
      <c r="X131" s="99">
        <f t="shared" si="60"/>
        <v>0</v>
      </c>
      <c r="Y131" s="99">
        <f t="shared" si="61"/>
        <v>0</v>
      </c>
      <c r="Z131" s="99">
        <f t="shared" si="62"/>
        <v>0</v>
      </c>
      <c r="AA131" s="64">
        <f t="shared" si="63"/>
        <v>0</v>
      </c>
    </row>
    <row r="132" spans="1:27" ht="51.75" thickBot="1" x14ac:dyDescent="0.3">
      <c r="A132" s="631"/>
      <c r="B132" s="85" t="s">
        <v>557</v>
      </c>
      <c r="C132" s="86" t="s">
        <v>558</v>
      </c>
      <c r="D132" s="123">
        <v>180</v>
      </c>
      <c r="E132" s="123">
        <v>206</v>
      </c>
      <c r="F132" s="94">
        <v>1</v>
      </c>
      <c r="G132" s="94">
        <v>0</v>
      </c>
      <c r="H132" s="94">
        <v>0</v>
      </c>
      <c r="I132" s="94">
        <v>0</v>
      </c>
      <c r="J132" s="94">
        <v>0</v>
      </c>
      <c r="K132" s="94">
        <v>0</v>
      </c>
      <c r="L132" s="94">
        <v>0</v>
      </c>
      <c r="M132" s="94">
        <v>0</v>
      </c>
      <c r="N132" s="94">
        <v>0</v>
      </c>
      <c r="O132" s="94">
        <v>0</v>
      </c>
      <c r="Q132" s="99">
        <f t="shared" si="53"/>
        <v>180</v>
      </c>
      <c r="R132" s="99">
        <f t="shared" si="54"/>
        <v>0</v>
      </c>
      <c r="S132" s="99">
        <f t="shared" si="55"/>
        <v>0</v>
      </c>
      <c r="T132" s="99">
        <f t="shared" si="56"/>
        <v>0</v>
      </c>
      <c r="U132" s="99">
        <f t="shared" si="57"/>
        <v>0</v>
      </c>
      <c r="V132" s="99">
        <f t="shared" si="58"/>
        <v>0</v>
      </c>
      <c r="W132" s="99">
        <f t="shared" si="59"/>
        <v>0</v>
      </c>
      <c r="X132" s="99">
        <f t="shared" si="60"/>
        <v>0</v>
      </c>
      <c r="Y132" s="99">
        <f t="shared" si="61"/>
        <v>0</v>
      </c>
      <c r="Z132" s="99">
        <f t="shared" si="62"/>
        <v>0</v>
      </c>
      <c r="AA132" s="64">
        <f t="shared" si="63"/>
        <v>180</v>
      </c>
    </row>
  </sheetData>
  <mergeCells count="64">
    <mergeCell ref="Q17:Z17"/>
    <mergeCell ref="C17:C18"/>
    <mergeCell ref="D17:D18"/>
    <mergeCell ref="E17:E18"/>
    <mergeCell ref="A2:A3"/>
    <mergeCell ref="B2:B3"/>
    <mergeCell ref="C2:C3"/>
    <mergeCell ref="D2:D3"/>
    <mergeCell ref="E2:E3"/>
    <mergeCell ref="A4:A15"/>
    <mergeCell ref="B5:B7"/>
    <mergeCell ref="B8:B10"/>
    <mergeCell ref="B11:B12"/>
    <mergeCell ref="Q2:Z2"/>
    <mergeCell ref="F2:O2"/>
    <mergeCell ref="Q45:Z45"/>
    <mergeCell ref="B35:B36"/>
    <mergeCell ref="B39:B42"/>
    <mergeCell ref="B31:B32"/>
    <mergeCell ref="B33:B34"/>
    <mergeCell ref="B45:B46"/>
    <mergeCell ref="C45:C46"/>
    <mergeCell ref="D45:D46"/>
    <mergeCell ref="E45:E46"/>
    <mergeCell ref="B28:B30"/>
    <mergeCell ref="F17:O17"/>
    <mergeCell ref="A19:A42"/>
    <mergeCell ref="B19:B21"/>
    <mergeCell ref="A47:A70"/>
    <mergeCell ref="B47:B50"/>
    <mergeCell ref="B52:B58"/>
    <mergeCell ref="B60:B61"/>
    <mergeCell ref="B62:B64"/>
    <mergeCell ref="B65:B66"/>
    <mergeCell ref="B67:B70"/>
    <mergeCell ref="F45:O45"/>
    <mergeCell ref="A45:A46"/>
    <mergeCell ref="B22:B27"/>
    <mergeCell ref="A17:A18"/>
    <mergeCell ref="B17:B18"/>
    <mergeCell ref="C91:C93"/>
    <mergeCell ref="Q72:Z72"/>
    <mergeCell ref="A74:A97"/>
    <mergeCell ref="B74:B79"/>
    <mergeCell ref="B80:B82"/>
    <mergeCell ref="B83:B86"/>
    <mergeCell ref="B87:B88"/>
    <mergeCell ref="B89:B96"/>
    <mergeCell ref="A72:A73"/>
    <mergeCell ref="B72:B73"/>
    <mergeCell ref="C72:C73"/>
    <mergeCell ref="D72:D73"/>
    <mergeCell ref="E72:E73"/>
    <mergeCell ref="F72:O72"/>
    <mergeCell ref="Q101:Z101"/>
    <mergeCell ref="A103:A132"/>
    <mergeCell ref="B104:B125"/>
    <mergeCell ref="B128:B130"/>
    <mergeCell ref="D101:D102"/>
    <mergeCell ref="E101:E102"/>
    <mergeCell ref="F101:O101"/>
    <mergeCell ref="A101:A102"/>
    <mergeCell ref="B101:B102"/>
    <mergeCell ref="C101:C10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V28"/>
  <sheetViews>
    <sheetView showGridLines="0" tabSelected="1" zoomScale="70" zoomScaleNormal="70" zoomScalePageLayoutView="50" workbookViewId="0">
      <pane xSplit="3" ySplit="3" topLeftCell="J4" activePane="bottomRight" state="frozen"/>
      <selection activeCell="A4" sqref="A4:A25"/>
      <selection pane="topRight" activeCell="A4" sqref="A4:A25"/>
      <selection pane="bottomLeft" activeCell="A4" sqref="A4:A25"/>
      <selection pane="bottomRight" activeCell="X4" sqref="X4"/>
    </sheetView>
  </sheetViews>
  <sheetFormatPr baseColWidth="10" defaultRowHeight="15" x14ac:dyDescent="0.25"/>
  <cols>
    <col min="1" max="1" width="12.28515625" customWidth="1"/>
    <col min="2" max="2" width="23" customWidth="1"/>
    <col min="3" max="3" width="10.42578125" customWidth="1"/>
    <col min="4" max="4" width="51.42578125" customWidth="1"/>
    <col min="5" max="5" width="6.28515625" customWidth="1"/>
    <col min="6" max="8" width="14.28515625" customWidth="1"/>
    <col min="9" max="9" width="17.28515625" customWidth="1"/>
    <col min="10" max="10" width="16.28515625" customWidth="1"/>
    <col min="11" max="11" width="16.28515625" bestFit="1" customWidth="1"/>
    <col min="12" max="17" width="11.42578125" customWidth="1"/>
    <col min="18" max="18" width="10.7109375" style="40" bestFit="1" customWidth="1"/>
    <col min="21" max="21" width="14.85546875" customWidth="1"/>
    <col min="22" max="22" width="98.42578125" customWidth="1"/>
  </cols>
  <sheetData>
    <row r="1" spans="1:22" ht="15" customHeight="1" x14ac:dyDescent="0.25">
      <c r="A1" s="452" t="s">
        <v>365</v>
      </c>
      <c r="B1" s="453"/>
      <c r="C1" s="449" t="s">
        <v>364</v>
      </c>
      <c r="D1" s="450"/>
      <c r="E1" s="451"/>
      <c r="F1" s="455"/>
      <c r="G1" s="456"/>
      <c r="H1" s="457"/>
      <c r="I1" s="427" t="s">
        <v>0</v>
      </c>
      <c r="J1" s="427" t="s">
        <v>1</v>
      </c>
      <c r="K1" s="427" t="s">
        <v>2</v>
      </c>
      <c r="L1" s="437" t="s">
        <v>3</v>
      </c>
      <c r="M1" s="437"/>
      <c r="N1" s="437"/>
      <c r="O1" s="437"/>
      <c r="P1" s="437"/>
      <c r="Q1" s="437"/>
      <c r="R1" s="458" t="s">
        <v>701</v>
      </c>
      <c r="S1" s="459" t="s">
        <v>5</v>
      </c>
      <c r="T1" s="454" t="s">
        <v>6</v>
      </c>
      <c r="U1" s="459" t="s">
        <v>7</v>
      </c>
      <c r="V1" s="430" t="s">
        <v>8</v>
      </c>
    </row>
    <row r="2" spans="1:22" ht="28.5" customHeight="1" x14ac:dyDescent="0.25">
      <c r="A2" s="426" t="s">
        <v>9</v>
      </c>
      <c r="B2" s="426" t="s">
        <v>10</v>
      </c>
      <c r="C2" s="441" t="s">
        <v>11</v>
      </c>
      <c r="D2" s="426" t="s">
        <v>12</v>
      </c>
      <c r="E2" s="443" t="s">
        <v>13</v>
      </c>
      <c r="F2" s="445" t="s">
        <v>14</v>
      </c>
      <c r="G2" s="445" t="s">
        <v>15</v>
      </c>
      <c r="H2" s="445" t="s">
        <v>16</v>
      </c>
      <c r="I2" s="427"/>
      <c r="J2" s="427"/>
      <c r="K2" s="427"/>
      <c r="L2" s="437" t="s">
        <v>698</v>
      </c>
      <c r="M2" s="437"/>
      <c r="N2" s="437" t="s">
        <v>699</v>
      </c>
      <c r="O2" s="437"/>
      <c r="P2" s="437" t="s">
        <v>700</v>
      </c>
      <c r="Q2" s="437"/>
      <c r="R2" s="458"/>
      <c r="S2" s="459"/>
      <c r="T2" s="454"/>
      <c r="U2" s="459"/>
      <c r="V2" s="430"/>
    </row>
    <row r="3" spans="1:22" ht="23.25" customHeight="1" x14ac:dyDescent="0.25">
      <c r="A3" s="426"/>
      <c r="B3" s="426"/>
      <c r="C3" s="442"/>
      <c r="D3" s="426"/>
      <c r="E3" s="444"/>
      <c r="F3" s="446"/>
      <c r="G3" s="446"/>
      <c r="H3" s="446"/>
      <c r="I3" s="460" t="s">
        <v>17</v>
      </c>
      <c r="J3" s="461"/>
      <c r="K3" s="462"/>
      <c r="L3" s="197" t="s">
        <v>18</v>
      </c>
      <c r="M3" s="197" t="s">
        <v>19</v>
      </c>
      <c r="N3" s="197" t="s">
        <v>18</v>
      </c>
      <c r="O3" s="197" t="s">
        <v>19</v>
      </c>
      <c r="P3" s="197" t="s">
        <v>18</v>
      </c>
      <c r="Q3" s="197" t="s">
        <v>19</v>
      </c>
      <c r="R3" s="458"/>
      <c r="S3" s="428" t="s">
        <v>20</v>
      </c>
      <c r="T3" s="428"/>
      <c r="U3" s="428"/>
      <c r="V3" s="430"/>
    </row>
    <row r="4" spans="1:22" ht="270" x14ac:dyDescent="0.25">
      <c r="A4" s="431" t="s">
        <v>21</v>
      </c>
      <c r="B4" s="420" t="s">
        <v>22</v>
      </c>
      <c r="C4" s="210" t="e">
        <f>#REF!</f>
        <v>#REF!</v>
      </c>
      <c r="D4" s="211" t="e">
        <f>#REF!</f>
        <v>#REF!</v>
      </c>
      <c r="E4" s="210" t="e">
        <f>#REF!</f>
        <v>#REF!</v>
      </c>
      <c r="F4" s="3" t="s">
        <v>25</v>
      </c>
      <c r="G4" s="181">
        <v>1150</v>
      </c>
      <c r="H4" s="438" t="s">
        <v>62</v>
      </c>
      <c r="I4" s="4">
        <v>64067588</v>
      </c>
      <c r="J4" s="4">
        <v>59845087</v>
      </c>
      <c r="K4" s="5">
        <f>I4-J4</f>
        <v>4222501</v>
      </c>
      <c r="L4" s="196">
        <v>300</v>
      </c>
      <c r="M4" s="51"/>
      <c r="N4" s="196">
        <v>2200</v>
      </c>
      <c r="O4" s="51"/>
      <c r="P4" s="196">
        <v>0</v>
      </c>
      <c r="Q4" s="288">
        <v>1</v>
      </c>
      <c r="R4" s="272">
        <v>1</v>
      </c>
      <c r="S4" s="205">
        <f>IFERROR((J4/I4),0)</f>
        <v>0.93409302376109427</v>
      </c>
      <c r="T4" s="279">
        <f>R4</f>
        <v>1</v>
      </c>
      <c r="U4" s="205">
        <f>(S4+T4)/2</f>
        <v>0.96704651188054713</v>
      </c>
      <c r="V4" s="7" t="s">
        <v>706</v>
      </c>
    </row>
    <row r="5" spans="1:22" ht="409.5" x14ac:dyDescent="0.25">
      <c r="A5" s="432"/>
      <c r="B5" s="421"/>
      <c r="C5" s="210" t="e">
        <f>#REF!</f>
        <v>#REF!</v>
      </c>
      <c r="D5" s="211" t="e">
        <f>#REF!</f>
        <v>#REF!</v>
      </c>
      <c r="E5" s="210" t="e">
        <f>#REF!</f>
        <v>#REF!</v>
      </c>
      <c r="F5" s="3" t="s">
        <v>28</v>
      </c>
      <c r="G5" s="181">
        <v>1150</v>
      </c>
      <c r="H5" s="439"/>
      <c r="I5" s="4">
        <v>58854378</v>
      </c>
      <c r="J5" s="4">
        <v>57927952</v>
      </c>
      <c r="K5" s="5">
        <f t="shared" ref="K5:K25" si="0">I5-J5</f>
        <v>926426</v>
      </c>
      <c r="L5" s="196">
        <v>800</v>
      </c>
      <c r="M5" s="51"/>
      <c r="N5" s="196">
        <v>780</v>
      </c>
      <c r="O5" s="51"/>
      <c r="P5" s="196"/>
      <c r="Q5" s="288">
        <v>1</v>
      </c>
      <c r="R5" s="272">
        <v>1</v>
      </c>
      <c r="S5" s="271">
        <f t="shared" ref="S5:S25" si="1">IFERROR((J5/I5),0)</f>
        <v>0.98425901298285745</v>
      </c>
      <c r="T5" s="279">
        <f t="shared" ref="T5:T25" si="2">R5</f>
        <v>1</v>
      </c>
      <c r="U5" s="271">
        <f t="shared" ref="U5:U25" si="3">(S5+T5)/2</f>
        <v>0.99212950649142873</v>
      </c>
      <c r="V5" s="7" t="s">
        <v>707</v>
      </c>
    </row>
    <row r="6" spans="1:22" ht="45" x14ac:dyDescent="0.25">
      <c r="A6" s="432"/>
      <c r="B6" s="422"/>
      <c r="C6" s="210" t="e">
        <f>#REF!</f>
        <v>#REF!</v>
      </c>
      <c r="D6" s="211" t="e">
        <f>#REF!</f>
        <v>#REF!</v>
      </c>
      <c r="E6" s="210" t="e">
        <f>#REF!</f>
        <v>#REF!</v>
      </c>
      <c r="F6" s="3" t="s">
        <v>31</v>
      </c>
      <c r="G6" s="181">
        <v>1150</v>
      </c>
      <c r="H6" s="440"/>
      <c r="I6" s="4">
        <v>31594219</v>
      </c>
      <c r="J6" s="4">
        <v>30805823</v>
      </c>
      <c r="K6" s="5">
        <f t="shared" si="0"/>
        <v>788396</v>
      </c>
      <c r="L6" s="196"/>
      <c r="M6" s="51"/>
      <c r="N6" s="196">
        <v>950</v>
      </c>
      <c r="O6" s="51"/>
      <c r="P6" s="196"/>
      <c r="Q6" s="288">
        <v>1</v>
      </c>
      <c r="R6" s="272">
        <v>1</v>
      </c>
      <c r="S6" s="271">
        <f t="shared" si="1"/>
        <v>0.97504619436865969</v>
      </c>
      <c r="T6" s="279">
        <f t="shared" si="2"/>
        <v>1</v>
      </c>
      <c r="U6" s="271">
        <f t="shared" si="3"/>
        <v>0.98752309718432985</v>
      </c>
      <c r="V6" s="7" t="s">
        <v>708</v>
      </c>
    </row>
    <row r="7" spans="1:22" ht="210" x14ac:dyDescent="0.25">
      <c r="A7" s="432"/>
      <c r="B7" s="8" t="s">
        <v>32</v>
      </c>
      <c r="C7" s="210" t="str">
        <f>Asignación!A6</f>
        <v>SF-PY2.1</v>
      </c>
      <c r="D7" s="211" t="str">
        <f>Asignación!B6</f>
        <v>Apoyo a la realización de estudios y diseños para la creación de programas de pregrado y postgrados.</v>
      </c>
      <c r="E7" s="212">
        <f>Asignación!C6</f>
        <v>510</v>
      </c>
      <c r="F7" s="3" t="s">
        <v>35</v>
      </c>
      <c r="G7" s="3">
        <v>3</v>
      </c>
      <c r="H7" s="3" t="s">
        <v>54</v>
      </c>
      <c r="I7" s="4">
        <v>37000000</v>
      </c>
      <c r="J7" s="4">
        <v>24630971</v>
      </c>
      <c r="K7" s="5">
        <f t="shared" si="0"/>
        <v>12369029</v>
      </c>
      <c r="L7" s="196">
        <v>1</v>
      </c>
      <c r="M7" s="51"/>
      <c r="N7" s="196">
        <v>1</v>
      </c>
      <c r="O7" s="51"/>
      <c r="P7" s="196">
        <v>1</v>
      </c>
      <c r="Q7" s="288">
        <v>0.98</v>
      </c>
      <c r="R7" s="272">
        <v>1</v>
      </c>
      <c r="S7" s="271">
        <f t="shared" si="1"/>
        <v>0.66570191891891894</v>
      </c>
      <c r="T7" s="279">
        <v>0.98</v>
      </c>
      <c r="U7" s="271">
        <f t="shared" si="3"/>
        <v>0.82285095945945952</v>
      </c>
      <c r="V7" s="7" t="s">
        <v>709</v>
      </c>
    </row>
    <row r="8" spans="1:22" ht="270" x14ac:dyDescent="0.25">
      <c r="A8" s="432"/>
      <c r="B8" s="434" t="s">
        <v>36</v>
      </c>
      <c r="C8" s="210" t="str">
        <f>Asignación!A7</f>
        <v>SF-PY3.1</v>
      </c>
      <c r="D8" s="211" t="str">
        <f>Asignación!B7</f>
        <v xml:space="preserve"> Escuela de Formación Pedagógica
(formación y acompañamiento en  Pedagogía, alcance y materialización del PEU y  labor de consejerías) Graduación y Permanencia.</v>
      </c>
      <c r="E8" s="212">
        <f>Asignación!C7</f>
        <v>310</v>
      </c>
      <c r="F8" s="3" t="s">
        <v>31</v>
      </c>
      <c r="G8" s="3">
        <v>40</v>
      </c>
      <c r="H8" s="3" t="s">
        <v>39</v>
      </c>
      <c r="I8" s="4">
        <v>178290131</v>
      </c>
      <c r="J8" s="4">
        <v>144333921</v>
      </c>
      <c r="K8" s="5">
        <f t="shared" si="0"/>
        <v>33956210</v>
      </c>
      <c r="L8" s="196">
        <v>1</v>
      </c>
      <c r="M8" s="51"/>
      <c r="N8" s="196">
        <v>1</v>
      </c>
      <c r="O8" s="51"/>
      <c r="P8" s="196">
        <v>1</v>
      </c>
      <c r="Q8" s="288">
        <v>1</v>
      </c>
      <c r="R8" s="272">
        <v>1</v>
      </c>
      <c r="S8" s="271">
        <f t="shared" si="1"/>
        <v>0.80954520696381116</v>
      </c>
      <c r="T8" s="279">
        <f t="shared" si="2"/>
        <v>1</v>
      </c>
      <c r="U8" s="271">
        <f t="shared" si="3"/>
        <v>0.90477260348190558</v>
      </c>
      <c r="V8" s="7" t="s">
        <v>710</v>
      </c>
    </row>
    <row r="9" spans="1:22" ht="69.75" customHeight="1" x14ac:dyDescent="0.25">
      <c r="A9" s="432"/>
      <c r="B9" s="435"/>
      <c r="C9" s="210" t="str">
        <f>Asignación!A8</f>
        <v>SF-PY3.2</v>
      </c>
      <c r="D9" s="211" t="str">
        <f>Asignación!B8</f>
        <v>Capacitación Individual Docente.</v>
      </c>
      <c r="E9" s="212">
        <f>Asignación!C8</f>
        <v>310</v>
      </c>
      <c r="F9" s="3" t="s">
        <v>42</v>
      </c>
      <c r="G9" s="3">
        <v>7</v>
      </c>
      <c r="H9" s="3" t="s">
        <v>39</v>
      </c>
      <c r="I9" s="4">
        <v>375627118</v>
      </c>
      <c r="J9" s="4">
        <v>350600929</v>
      </c>
      <c r="K9" s="5">
        <f t="shared" si="0"/>
        <v>25026189</v>
      </c>
      <c r="L9" s="196">
        <v>38</v>
      </c>
      <c r="M9" s="51"/>
      <c r="N9" s="196">
        <v>38</v>
      </c>
      <c r="O9" s="51"/>
      <c r="P9" s="196">
        <v>38</v>
      </c>
      <c r="Q9" s="288">
        <v>1</v>
      </c>
      <c r="R9" s="272">
        <v>1</v>
      </c>
      <c r="S9" s="271">
        <f t="shared" si="1"/>
        <v>0.93337491410830464</v>
      </c>
      <c r="T9" s="279">
        <f t="shared" si="2"/>
        <v>1</v>
      </c>
      <c r="U9" s="271">
        <f t="shared" si="3"/>
        <v>0.96668745705415238</v>
      </c>
      <c r="V9" s="7" t="s">
        <v>711</v>
      </c>
    </row>
    <row r="10" spans="1:22" ht="105" x14ac:dyDescent="0.25">
      <c r="A10" s="432"/>
      <c r="B10" s="435"/>
      <c r="C10" s="210" t="str">
        <f>Asignación!A9</f>
        <v>SF-PY3.3</v>
      </c>
      <c r="D10" s="211" t="str">
        <f>Asignación!B9</f>
        <v xml:space="preserve"> Interlingua para Docentes.</v>
      </c>
      <c r="E10" s="212">
        <f>Asignación!C9</f>
        <v>310</v>
      </c>
      <c r="F10" s="3" t="s">
        <v>31</v>
      </c>
      <c r="G10" s="3">
        <v>19</v>
      </c>
      <c r="H10" s="3" t="s">
        <v>39</v>
      </c>
      <c r="I10" s="4">
        <v>30000000</v>
      </c>
      <c r="J10" s="4">
        <v>21775000</v>
      </c>
      <c r="K10" s="5">
        <f t="shared" si="0"/>
        <v>8225000</v>
      </c>
      <c r="L10" s="196"/>
      <c r="M10" s="51"/>
      <c r="N10" s="196">
        <v>19</v>
      </c>
      <c r="O10" s="51"/>
      <c r="P10" s="196"/>
      <c r="Q10" s="288">
        <v>1</v>
      </c>
      <c r="R10" s="272">
        <v>1</v>
      </c>
      <c r="S10" s="271">
        <f t="shared" si="1"/>
        <v>0.72583333333333333</v>
      </c>
      <c r="T10" s="279">
        <f t="shared" si="2"/>
        <v>1</v>
      </c>
      <c r="U10" s="271">
        <f t="shared" si="3"/>
        <v>0.86291666666666667</v>
      </c>
      <c r="V10" s="7" t="s">
        <v>712</v>
      </c>
    </row>
    <row r="11" spans="1:22" ht="255" x14ac:dyDescent="0.25">
      <c r="A11" s="432"/>
      <c r="B11" s="435"/>
      <c r="C11" s="210" t="str">
        <f>Asignación!A10</f>
        <v>SF-PY3.4</v>
      </c>
      <c r="D11" s="211" t="str">
        <f>Asignación!B10</f>
        <v>Oferta de Cursos Intersemestrales sobre áreas de conocimiento y culturas latinoaméricanas,  formación para la democracia.</v>
      </c>
      <c r="E11" s="212">
        <f>Asignación!C10</f>
        <v>310</v>
      </c>
      <c r="F11" s="3" t="s">
        <v>31</v>
      </c>
      <c r="G11" s="3">
        <v>7</v>
      </c>
      <c r="H11" s="3" t="s">
        <v>47</v>
      </c>
      <c r="I11" s="4">
        <v>23240492</v>
      </c>
      <c r="J11" s="4">
        <v>16817421</v>
      </c>
      <c r="K11" s="5">
        <f t="shared" si="0"/>
        <v>6423071</v>
      </c>
      <c r="L11" s="196"/>
      <c r="M11" s="51"/>
      <c r="N11" s="196"/>
      <c r="O11" s="51"/>
      <c r="P11" s="196">
        <v>6</v>
      </c>
      <c r="Q11" s="288">
        <v>0.98</v>
      </c>
      <c r="R11" s="272">
        <v>0.98</v>
      </c>
      <c r="S11" s="271">
        <f t="shared" si="1"/>
        <v>0.72362585955581316</v>
      </c>
      <c r="T11" s="279">
        <f t="shared" si="2"/>
        <v>0.98</v>
      </c>
      <c r="U11" s="271">
        <f t="shared" si="3"/>
        <v>0.85181292977790657</v>
      </c>
      <c r="V11" s="10" t="s">
        <v>713</v>
      </c>
    </row>
    <row r="12" spans="1:22" ht="28.5" x14ac:dyDescent="0.25">
      <c r="A12" s="432"/>
      <c r="B12" s="436"/>
      <c r="C12" s="274" t="str">
        <f>Asignación!A11</f>
        <v>SF-PY3.5</v>
      </c>
      <c r="D12" s="273" t="str">
        <f>Asignación!B11</f>
        <v>Estudio de Factibilidad Proyecto Inmersión Total en Casa.</v>
      </c>
      <c r="E12" s="275">
        <f>Asignación!C11</f>
        <v>310</v>
      </c>
      <c r="F12" s="23" t="s">
        <v>31</v>
      </c>
      <c r="G12" s="23"/>
      <c r="H12" s="23"/>
      <c r="I12" s="280"/>
      <c r="J12" s="280"/>
      <c r="K12" s="281">
        <f t="shared" si="0"/>
        <v>0</v>
      </c>
      <c r="L12" s="282"/>
      <c r="M12" s="283"/>
      <c r="N12" s="282"/>
      <c r="O12" s="283"/>
      <c r="P12" s="282"/>
      <c r="Q12" s="289"/>
      <c r="R12" s="284">
        <f t="shared" ref="R12:R20" si="4">SUM(M12,O12,Q12)</f>
        <v>0</v>
      </c>
      <c r="S12" s="285">
        <f t="shared" si="1"/>
        <v>0</v>
      </c>
      <c r="T12" s="286">
        <f t="shared" si="2"/>
        <v>0</v>
      </c>
      <c r="U12" s="285">
        <f t="shared" si="3"/>
        <v>0</v>
      </c>
      <c r="V12" s="287"/>
    </row>
    <row r="13" spans="1:22" ht="96" customHeight="1" x14ac:dyDescent="0.25">
      <c r="A13" s="432"/>
      <c r="B13" s="420" t="s">
        <v>50</v>
      </c>
      <c r="C13" s="213" t="str">
        <f>Asignación!A12</f>
        <v>SF-PY4.1</v>
      </c>
      <c r="D13" s="211" t="str">
        <f>Asignación!B12</f>
        <v>Apoyo a los procesos de autoevaluación en cada programa; Talleres de Analisis de información de producción de juicios de valor; Talleres de socialización de resultados; conocimientos de referencias; asesorias de pares colaborativos; reproducción de material.</v>
      </c>
      <c r="E13" s="212">
        <f>Asignación!C12</f>
        <v>510</v>
      </c>
      <c r="F13" s="3" t="s">
        <v>53</v>
      </c>
      <c r="G13" s="3">
        <v>22</v>
      </c>
      <c r="H13" s="3" t="s">
        <v>54</v>
      </c>
      <c r="I13" s="4">
        <v>367600000</v>
      </c>
      <c r="J13" s="4">
        <v>311512109</v>
      </c>
      <c r="K13" s="5">
        <f t="shared" si="0"/>
        <v>56087891</v>
      </c>
      <c r="L13" s="196"/>
      <c r="M13" s="51"/>
      <c r="N13" s="196"/>
      <c r="O13" s="51"/>
      <c r="P13" s="196">
        <v>22</v>
      </c>
      <c r="Q13" s="288">
        <v>1</v>
      </c>
      <c r="R13" s="272">
        <v>1</v>
      </c>
      <c r="S13" s="271">
        <f t="shared" si="1"/>
        <v>0.84742140642002173</v>
      </c>
      <c r="T13" s="279">
        <f t="shared" si="2"/>
        <v>1</v>
      </c>
      <c r="U13" s="271">
        <f t="shared" si="3"/>
        <v>0.92371070321001092</v>
      </c>
      <c r="V13" s="7" t="s">
        <v>714</v>
      </c>
    </row>
    <row r="14" spans="1:22" ht="270" x14ac:dyDescent="0.25">
      <c r="A14" s="432"/>
      <c r="B14" s="421"/>
      <c r="C14" s="213" t="str">
        <f>Asignación!A13</f>
        <v>SF-PY4.2</v>
      </c>
      <c r="D14" s="211" t="str">
        <f>Asignación!B13</f>
        <v>Aprestamiento en Lectura Crítica y Matemática- Plan de Fomento a la Calidad-FASE I-Permanencia y graduación.</v>
      </c>
      <c r="E14" s="212">
        <f>Asignación!C13</f>
        <v>510</v>
      </c>
      <c r="F14" s="3" t="s">
        <v>31</v>
      </c>
      <c r="G14" s="3">
        <v>1800</v>
      </c>
      <c r="H14" s="3" t="s">
        <v>57</v>
      </c>
      <c r="I14" s="4">
        <v>100000000</v>
      </c>
      <c r="J14" s="4">
        <v>95381834</v>
      </c>
      <c r="K14" s="5">
        <f t="shared" si="0"/>
        <v>4618166</v>
      </c>
      <c r="L14" s="196"/>
      <c r="M14" s="51"/>
      <c r="N14" s="196"/>
      <c r="O14" s="51"/>
      <c r="P14" s="196">
        <v>1800</v>
      </c>
      <c r="Q14" s="288">
        <v>1</v>
      </c>
      <c r="R14" s="272">
        <v>1</v>
      </c>
      <c r="S14" s="271">
        <f t="shared" si="1"/>
        <v>0.95381833999999999</v>
      </c>
      <c r="T14" s="279">
        <f t="shared" si="2"/>
        <v>1</v>
      </c>
      <c r="U14" s="271">
        <f t="shared" si="3"/>
        <v>0.97690916999999999</v>
      </c>
      <c r="V14" s="7" t="s">
        <v>715</v>
      </c>
    </row>
    <row r="15" spans="1:22" ht="48.75" customHeight="1" x14ac:dyDescent="0.25">
      <c r="A15" s="432"/>
      <c r="B15" s="421"/>
      <c r="C15" s="213" t="str">
        <f>Asignación!A14</f>
        <v>SF-PY4.3</v>
      </c>
      <c r="D15" s="211" t="str">
        <f>Asignación!B14</f>
        <v>Fortalecimiento de las Competencias Genéricas Saber Pro- Plan de Fomento a la Calidad-FASE I -Permanencia y graduación.</v>
      </c>
      <c r="E15" s="212">
        <f>Asignación!C14</f>
        <v>510</v>
      </c>
      <c r="F15" s="3" t="s">
        <v>31</v>
      </c>
      <c r="G15" s="3">
        <v>800</v>
      </c>
      <c r="H15" s="3" t="s">
        <v>57</v>
      </c>
      <c r="I15" s="4">
        <v>75092920</v>
      </c>
      <c r="J15" s="4">
        <v>68067472</v>
      </c>
      <c r="K15" s="5">
        <f t="shared" si="0"/>
        <v>7025448</v>
      </c>
      <c r="L15" s="196"/>
      <c r="M15" s="51"/>
      <c r="N15" s="196"/>
      <c r="O15" s="51"/>
      <c r="P15" s="196">
        <v>800</v>
      </c>
      <c r="Q15" s="288">
        <v>1</v>
      </c>
      <c r="R15" s="272">
        <v>1</v>
      </c>
      <c r="S15" s="271">
        <f t="shared" si="1"/>
        <v>0.90644327055067242</v>
      </c>
      <c r="T15" s="279">
        <f t="shared" si="2"/>
        <v>1</v>
      </c>
      <c r="U15" s="271">
        <f t="shared" si="3"/>
        <v>0.95322163527533621</v>
      </c>
      <c r="V15" s="7" t="s">
        <v>716</v>
      </c>
    </row>
    <row r="16" spans="1:22" ht="409.5" x14ac:dyDescent="0.25">
      <c r="A16" s="432"/>
      <c r="B16" s="421"/>
      <c r="C16" s="213" t="str">
        <f>Asignación!A15</f>
        <v>SF-PY4.4</v>
      </c>
      <c r="D16" s="211" t="str">
        <f>Asignación!B15</f>
        <v>Consejerías Académicas -Plan de Fomento a la Calidad-FASE I-Permanencia y graduación.</v>
      </c>
      <c r="E16" s="212">
        <f>Asignación!C15</f>
        <v>510</v>
      </c>
      <c r="F16" s="3" t="s">
        <v>31</v>
      </c>
      <c r="G16" s="3">
        <v>800</v>
      </c>
      <c r="H16" s="3" t="s">
        <v>62</v>
      </c>
      <c r="I16" s="4">
        <v>103646000</v>
      </c>
      <c r="J16" s="4">
        <v>72511052</v>
      </c>
      <c r="K16" s="5">
        <f t="shared" si="0"/>
        <v>31134948</v>
      </c>
      <c r="L16" s="196"/>
      <c r="M16" s="51"/>
      <c r="N16" s="196"/>
      <c r="O16" s="51"/>
      <c r="P16" s="196">
        <v>800</v>
      </c>
      <c r="Q16" s="288">
        <v>1</v>
      </c>
      <c r="R16" s="272">
        <v>1</v>
      </c>
      <c r="S16" s="271">
        <f t="shared" si="1"/>
        <v>0.69960299480925459</v>
      </c>
      <c r="T16" s="279">
        <f t="shared" si="2"/>
        <v>1</v>
      </c>
      <c r="U16" s="271">
        <f t="shared" si="3"/>
        <v>0.84980149740462729</v>
      </c>
      <c r="V16" s="7" t="s">
        <v>717</v>
      </c>
    </row>
    <row r="17" spans="1:22" ht="165" x14ac:dyDescent="0.25">
      <c r="A17" s="432"/>
      <c r="B17" s="422"/>
      <c r="C17" s="213" t="str">
        <f>Asignación!A16</f>
        <v>SF-PY4.5</v>
      </c>
      <c r="D17" s="211" t="str">
        <f>Asignación!B16</f>
        <v>Apoyo a la Politica de Inclusión-Permanencia y graduación.</v>
      </c>
      <c r="E17" s="212">
        <f>Asignación!C16</f>
        <v>510</v>
      </c>
      <c r="F17" s="3" t="s">
        <v>31</v>
      </c>
      <c r="G17" s="3">
        <v>1</v>
      </c>
      <c r="H17" s="3" t="s">
        <v>374</v>
      </c>
      <c r="I17" s="4">
        <v>34000000</v>
      </c>
      <c r="J17" s="4">
        <v>33149949</v>
      </c>
      <c r="K17" s="5">
        <f t="shared" si="0"/>
        <v>850051</v>
      </c>
      <c r="L17" s="196"/>
      <c r="M17" s="51"/>
      <c r="N17" s="196"/>
      <c r="O17" s="51"/>
      <c r="P17" s="196">
        <v>1</v>
      </c>
      <c r="Q17" s="288">
        <v>1</v>
      </c>
      <c r="R17" s="272">
        <v>1</v>
      </c>
      <c r="S17" s="271">
        <f t="shared" si="1"/>
        <v>0.97499849999999999</v>
      </c>
      <c r="T17" s="279">
        <f>R17</f>
        <v>1</v>
      </c>
      <c r="U17" s="271">
        <f t="shared" si="3"/>
        <v>0.98749924999999994</v>
      </c>
      <c r="V17" s="7" t="s">
        <v>718</v>
      </c>
    </row>
    <row r="18" spans="1:22" ht="409.5" x14ac:dyDescent="0.25">
      <c r="A18" s="432"/>
      <c r="B18" s="420" t="s">
        <v>65</v>
      </c>
      <c r="C18" s="213" t="str">
        <f>Asignación!A17</f>
        <v>SF-PY5.1</v>
      </c>
      <c r="D18" s="211" t="str">
        <f>Asignación!B17</f>
        <v>Funcionamiento de la Unidad de Apoyo a los Procesos de Autoevaluación  y Acreditación Institucional.</v>
      </c>
      <c r="E18" s="213">
        <f>Asignación!C17</f>
        <v>510</v>
      </c>
      <c r="F18" s="3" t="s">
        <v>31</v>
      </c>
      <c r="G18" s="3">
        <v>35</v>
      </c>
      <c r="H18" s="3" t="s">
        <v>375</v>
      </c>
      <c r="I18" s="4">
        <v>221000000</v>
      </c>
      <c r="J18" s="4">
        <v>212354660</v>
      </c>
      <c r="K18" s="5">
        <f t="shared" si="0"/>
        <v>8645340</v>
      </c>
      <c r="L18" s="196"/>
      <c r="M18" s="51"/>
      <c r="N18" s="196"/>
      <c r="O18" s="51"/>
      <c r="P18" s="196">
        <v>35</v>
      </c>
      <c r="Q18" s="288">
        <v>1</v>
      </c>
      <c r="R18" s="272">
        <v>1</v>
      </c>
      <c r="S18" s="271">
        <f t="shared" si="1"/>
        <v>0.96088081447963802</v>
      </c>
      <c r="T18" s="279">
        <f t="shared" si="2"/>
        <v>1</v>
      </c>
      <c r="U18" s="271">
        <f t="shared" si="3"/>
        <v>0.98044040723981896</v>
      </c>
      <c r="V18" s="7" t="s">
        <v>720</v>
      </c>
    </row>
    <row r="19" spans="1:22" ht="409.5" x14ac:dyDescent="0.25">
      <c r="A19" s="432"/>
      <c r="B19" s="421"/>
      <c r="C19" s="213" t="str">
        <f>Asignación!A18</f>
        <v>SF-PY5.2</v>
      </c>
      <c r="D19" s="211" t="str">
        <f>Asignación!B18</f>
        <v>Procesos de Autoevaluación y Acreditación Institucional; Capacitaciones  y encuentros para apoyo con Universidades del país.</v>
      </c>
      <c r="E19" s="213">
        <f>Asignación!C18</f>
        <v>510</v>
      </c>
      <c r="F19" s="3" t="s">
        <v>31</v>
      </c>
      <c r="G19" s="47">
        <v>35</v>
      </c>
      <c r="H19" s="47" t="s">
        <v>375</v>
      </c>
      <c r="I19" s="4">
        <v>53440391</v>
      </c>
      <c r="J19" s="4">
        <v>43935174</v>
      </c>
      <c r="K19" s="5">
        <f t="shared" si="0"/>
        <v>9505217</v>
      </c>
      <c r="L19" s="196"/>
      <c r="M19" s="51"/>
      <c r="N19" s="196"/>
      <c r="O19" s="51"/>
      <c r="P19" s="196">
        <v>35</v>
      </c>
      <c r="Q19" s="288">
        <v>1</v>
      </c>
      <c r="R19" s="272">
        <v>1</v>
      </c>
      <c r="S19" s="271">
        <f t="shared" si="1"/>
        <v>0.82213421679493326</v>
      </c>
      <c r="T19" s="279">
        <f t="shared" si="2"/>
        <v>1</v>
      </c>
      <c r="U19" s="271">
        <f t="shared" si="3"/>
        <v>0.91106710839746663</v>
      </c>
      <c r="V19" s="7" t="s">
        <v>719</v>
      </c>
    </row>
    <row r="20" spans="1:22" ht="30.75" customHeight="1" x14ac:dyDescent="0.25">
      <c r="A20" s="432"/>
      <c r="B20" s="422"/>
      <c r="C20" s="276" t="str">
        <f>Asignación!A19</f>
        <v>SF-PY5.3</v>
      </c>
      <c r="D20" s="273" t="str">
        <f>Asignación!B19</f>
        <v>Creación de material educativo en formato digital.</v>
      </c>
      <c r="E20" s="276">
        <f>Asignación!C19</f>
        <v>510</v>
      </c>
      <c r="F20" s="23" t="s">
        <v>72</v>
      </c>
      <c r="G20" s="23"/>
      <c r="H20" s="23"/>
      <c r="I20" s="280"/>
      <c r="J20" s="280"/>
      <c r="K20" s="281">
        <f t="shared" si="0"/>
        <v>0</v>
      </c>
      <c r="L20" s="282"/>
      <c r="M20" s="283"/>
      <c r="N20" s="282"/>
      <c r="O20" s="283"/>
      <c r="P20" s="282"/>
      <c r="Q20" s="289"/>
      <c r="R20" s="284">
        <f t="shared" si="4"/>
        <v>0</v>
      </c>
      <c r="S20" s="285">
        <f t="shared" si="1"/>
        <v>0</v>
      </c>
      <c r="T20" s="286">
        <f t="shared" si="2"/>
        <v>0</v>
      </c>
      <c r="U20" s="285">
        <f t="shared" si="3"/>
        <v>0</v>
      </c>
      <c r="V20" s="287"/>
    </row>
    <row r="21" spans="1:22" ht="26.25" customHeight="1" x14ac:dyDescent="0.25">
      <c r="A21" s="432"/>
      <c r="B21" s="447" t="s">
        <v>73</v>
      </c>
      <c r="C21" s="213" t="str">
        <f>Asignación!A20</f>
        <v>SF-PY6.1</v>
      </c>
      <c r="D21" s="211" t="str">
        <f>Asignación!B20</f>
        <v>Convocatoria Banco Docentes Ocasionales 2017.</v>
      </c>
      <c r="E21" s="213">
        <f>Asignación!C20</f>
        <v>510</v>
      </c>
      <c r="F21" s="438" t="s">
        <v>31</v>
      </c>
      <c r="G21" s="270">
        <v>1</v>
      </c>
      <c r="H21" s="3" t="s">
        <v>704</v>
      </c>
      <c r="I21" s="4">
        <v>6000000</v>
      </c>
      <c r="J21" s="4">
        <v>0</v>
      </c>
      <c r="K21" s="5">
        <f t="shared" si="0"/>
        <v>6000000</v>
      </c>
      <c r="L21" s="196"/>
      <c r="M21" s="51"/>
      <c r="N21" s="196"/>
      <c r="O21" s="51"/>
      <c r="P21" s="196">
        <v>1</v>
      </c>
      <c r="Q21" s="288">
        <v>0.8</v>
      </c>
      <c r="R21" s="272">
        <v>0.8</v>
      </c>
      <c r="S21" s="271">
        <f t="shared" si="1"/>
        <v>0</v>
      </c>
      <c r="T21" s="279">
        <f t="shared" si="2"/>
        <v>0.8</v>
      </c>
      <c r="U21" s="271">
        <f t="shared" si="3"/>
        <v>0.4</v>
      </c>
      <c r="V21" s="10" t="s">
        <v>721</v>
      </c>
    </row>
    <row r="22" spans="1:22" ht="33.75" customHeight="1" x14ac:dyDescent="0.25">
      <c r="A22" s="432"/>
      <c r="B22" s="448"/>
      <c r="C22" s="213" t="str">
        <f>Asignación!A21</f>
        <v>SF-PY6.2</v>
      </c>
      <c r="D22" s="213" t="str">
        <f>Asignación!B21</f>
        <v>Evaluar y reformar la actual política de relevo generacional con base en criterios de excelencia académica, edad, otros (Documento aprobado). Proceso Acreditación.</v>
      </c>
      <c r="E22" s="213">
        <f>Asignación!C21</f>
        <v>510</v>
      </c>
      <c r="F22" s="440"/>
      <c r="G22" s="270">
        <v>1</v>
      </c>
      <c r="H22" s="216" t="s">
        <v>704</v>
      </c>
      <c r="I22" s="4">
        <v>2000000</v>
      </c>
      <c r="J22" s="4">
        <v>0</v>
      </c>
      <c r="K22" s="5">
        <f t="shared" si="0"/>
        <v>2000000</v>
      </c>
      <c r="L22" s="214"/>
      <c r="M22" s="51"/>
      <c r="N22" s="214"/>
      <c r="O22" s="51"/>
      <c r="P22" s="214">
        <v>1</v>
      </c>
      <c r="Q22" s="288">
        <v>0.8</v>
      </c>
      <c r="R22" s="272">
        <v>0.8</v>
      </c>
      <c r="S22" s="271">
        <f t="shared" si="1"/>
        <v>0</v>
      </c>
      <c r="T22" s="279">
        <f t="shared" si="2"/>
        <v>0.8</v>
      </c>
      <c r="U22" s="271">
        <f t="shared" si="3"/>
        <v>0.4</v>
      </c>
      <c r="V22" s="10" t="s">
        <v>722</v>
      </c>
    </row>
    <row r="23" spans="1:22" ht="33" customHeight="1" x14ac:dyDescent="0.25">
      <c r="A23" s="432"/>
      <c r="B23" s="420" t="s">
        <v>76</v>
      </c>
      <c r="C23" s="210" t="str">
        <f>Asignación!A22</f>
        <v>SF-PY7.1</v>
      </c>
      <c r="D23" s="211" t="str">
        <f>Asignación!B22</f>
        <v>Portal Laboral, fortalecimiento del vínculo empresa-universidad-estado.</v>
      </c>
      <c r="E23" s="210">
        <f>Asignación!C22</f>
        <v>510</v>
      </c>
      <c r="F23" s="3" t="s">
        <v>31</v>
      </c>
      <c r="G23" s="181">
        <v>8</v>
      </c>
      <c r="H23" s="438" t="s">
        <v>116</v>
      </c>
      <c r="I23" s="4">
        <v>12000000</v>
      </c>
      <c r="J23" s="4">
        <v>11204872</v>
      </c>
      <c r="K23" s="5">
        <f t="shared" si="0"/>
        <v>795128</v>
      </c>
      <c r="L23" s="196"/>
      <c r="M23" s="51"/>
      <c r="N23" s="196"/>
      <c r="O23" s="51"/>
      <c r="P23" s="196">
        <v>8</v>
      </c>
      <c r="Q23" s="288">
        <v>1</v>
      </c>
      <c r="R23" s="272">
        <v>1</v>
      </c>
      <c r="S23" s="271">
        <f t="shared" si="1"/>
        <v>0.93373933333333337</v>
      </c>
      <c r="T23" s="279">
        <f t="shared" si="2"/>
        <v>1</v>
      </c>
      <c r="U23" s="271">
        <f t="shared" si="3"/>
        <v>0.96686966666666674</v>
      </c>
      <c r="V23" s="7" t="s">
        <v>724</v>
      </c>
    </row>
    <row r="24" spans="1:22" ht="42" customHeight="1" x14ac:dyDescent="0.25">
      <c r="A24" s="432"/>
      <c r="B24" s="421"/>
      <c r="C24" s="210" t="str">
        <f>Asignación!A23</f>
        <v>SF-PY7.2</v>
      </c>
      <c r="D24" s="211" t="str">
        <f>Asignación!B23</f>
        <v>Programa de Seguimiento a Graduados, Apoyo a procesos de educación continuada.</v>
      </c>
      <c r="E24" s="210">
        <f>Asignación!C23</f>
        <v>510</v>
      </c>
      <c r="F24" s="3" t="s">
        <v>81</v>
      </c>
      <c r="G24" s="181">
        <v>8</v>
      </c>
      <c r="H24" s="439"/>
      <c r="I24" s="4">
        <v>76500000</v>
      </c>
      <c r="J24" s="4">
        <v>71763605</v>
      </c>
      <c r="K24" s="5">
        <f t="shared" si="0"/>
        <v>4736395</v>
      </c>
      <c r="L24" s="196"/>
      <c r="M24" s="51"/>
      <c r="N24" s="196"/>
      <c r="O24" s="51"/>
      <c r="P24" s="196">
        <v>8</v>
      </c>
      <c r="Q24" s="288">
        <v>1</v>
      </c>
      <c r="R24" s="272">
        <v>1</v>
      </c>
      <c r="S24" s="271">
        <f t="shared" si="1"/>
        <v>0.93808633986928103</v>
      </c>
      <c r="T24" s="279">
        <f t="shared" si="2"/>
        <v>1</v>
      </c>
      <c r="U24" s="271">
        <f t="shared" si="3"/>
        <v>0.96904316993464046</v>
      </c>
      <c r="V24" s="7" t="s">
        <v>723</v>
      </c>
    </row>
    <row r="25" spans="1:22" ht="39.75" customHeight="1" x14ac:dyDescent="0.25">
      <c r="A25" s="432"/>
      <c r="B25" s="422"/>
      <c r="C25" s="210" t="str">
        <f>Asignación!A24</f>
        <v>SF-PY7.3</v>
      </c>
      <c r="D25" s="211" t="str">
        <f>Asignación!B24</f>
        <v>Mejoramiento de la infraestructura tecnologica para el segumiento a egresados.</v>
      </c>
      <c r="E25" s="210">
        <f>Asignación!C24</f>
        <v>510</v>
      </c>
      <c r="F25" s="12" t="s">
        <v>31</v>
      </c>
      <c r="G25" s="182">
        <v>8</v>
      </c>
      <c r="H25" s="440"/>
      <c r="I25" s="4">
        <v>20000000</v>
      </c>
      <c r="J25" s="217">
        <v>4436420</v>
      </c>
      <c r="K25" s="5">
        <f t="shared" si="0"/>
        <v>15563580</v>
      </c>
      <c r="L25" s="196"/>
      <c r="M25" s="51"/>
      <c r="N25" s="196"/>
      <c r="O25" s="51"/>
      <c r="P25" s="196">
        <v>8</v>
      </c>
      <c r="Q25" s="288">
        <v>1</v>
      </c>
      <c r="R25" s="272">
        <v>1</v>
      </c>
      <c r="S25" s="271">
        <f t="shared" si="1"/>
        <v>0.22182099999999999</v>
      </c>
      <c r="T25" s="279">
        <f t="shared" si="2"/>
        <v>1</v>
      </c>
      <c r="U25" s="271">
        <f t="shared" si="3"/>
        <v>0.61091050000000002</v>
      </c>
      <c r="V25" s="7" t="s">
        <v>725</v>
      </c>
    </row>
    <row r="26" spans="1:22" s="16" customFormat="1" ht="32.25" customHeight="1" x14ac:dyDescent="0.25">
      <c r="A26" s="433"/>
      <c r="B26" s="415" t="s">
        <v>84</v>
      </c>
      <c r="C26" s="415"/>
      <c r="D26" s="415"/>
      <c r="E26" s="415"/>
      <c r="F26" s="13"/>
      <c r="G26" s="278">
        <f>SUM(G4:G25)</f>
        <v>7045</v>
      </c>
      <c r="H26" s="13"/>
      <c r="I26" s="14">
        <f>SUM(I4:I25)</f>
        <v>1869953237</v>
      </c>
      <c r="J26" s="14">
        <f>SUM(J4:J25)</f>
        <v>1631054251</v>
      </c>
      <c r="K26" s="14">
        <f>I26-J26</f>
        <v>238898986</v>
      </c>
      <c r="L26" s="185"/>
      <c r="M26" s="185"/>
      <c r="N26" s="185"/>
      <c r="O26" s="185"/>
      <c r="P26" s="185"/>
      <c r="Q26" s="185"/>
      <c r="R26" s="185"/>
      <c r="S26" s="205"/>
      <c r="T26" s="205"/>
      <c r="U26" s="205"/>
      <c r="V26" s="15"/>
    </row>
    <row r="27" spans="1:22" x14ac:dyDescent="0.25">
      <c r="I27" s="40"/>
      <c r="J27" s="40"/>
      <c r="K27" s="40"/>
    </row>
    <row r="28" spans="1:22" ht="45" x14ac:dyDescent="0.25">
      <c r="I28" s="40"/>
      <c r="J28" s="40"/>
      <c r="K28" s="277">
        <f>+J26/I26</f>
        <v>0.87224333674607291</v>
      </c>
      <c r="L28" s="138" t="s">
        <v>705</v>
      </c>
    </row>
  </sheetData>
  <mergeCells count="36">
    <mergeCell ref="C1:E1"/>
    <mergeCell ref="A1:B1"/>
    <mergeCell ref="T1:T2"/>
    <mergeCell ref="F1:H1"/>
    <mergeCell ref="V1:V3"/>
    <mergeCell ref="P2:Q2"/>
    <mergeCell ref="H2:H3"/>
    <mergeCell ref="I1:I2"/>
    <mergeCell ref="L1:Q1"/>
    <mergeCell ref="R1:R3"/>
    <mergeCell ref="S1:S2"/>
    <mergeCell ref="J1:J2"/>
    <mergeCell ref="I3:K3"/>
    <mergeCell ref="S3:U3"/>
    <mergeCell ref="K1:K2"/>
    <mergeCell ref="U1:U2"/>
    <mergeCell ref="L2:M2"/>
    <mergeCell ref="N2:O2"/>
    <mergeCell ref="H4:H6"/>
    <mergeCell ref="H23:H25"/>
    <mergeCell ref="B13:B17"/>
    <mergeCell ref="B2:B3"/>
    <mergeCell ref="C2:C3"/>
    <mergeCell ref="D2:D3"/>
    <mergeCell ref="E2:E3"/>
    <mergeCell ref="F2:F3"/>
    <mergeCell ref="G2:G3"/>
    <mergeCell ref="B21:B22"/>
    <mergeCell ref="F21:F22"/>
    <mergeCell ref="A4:A26"/>
    <mergeCell ref="B26:E26"/>
    <mergeCell ref="A2:A3"/>
    <mergeCell ref="B23:B25"/>
    <mergeCell ref="B4:B6"/>
    <mergeCell ref="B8:B12"/>
    <mergeCell ref="B18:B20"/>
  </mergeCells>
  <conditionalFormatting sqref="U4:U25">
    <cfRule type="cellIs" dxfId="592" priority="49" operator="greaterThan">
      <formula>24%</formula>
    </cfRule>
    <cfRule type="cellIs" dxfId="591" priority="50" operator="between">
      <formula>19.1%</formula>
      <formula>24%</formula>
    </cfRule>
    <cfRule type="cellIs" dxfId="590" priority="51" operator="between">
      <formula>9%</formula>
      <formula>19%</formula>
    </cfRule>
    <cfRule type="cellIs" dxfId="589" priority="52" operator="lessThan">
      <formula>9%</formula>
    </cfRule>
  </conditionalFormatting>
  <conditionalFormatting sqref="S4:T25">
    <cfRule type="cellIs" dxfId="588" priority="45" operator="greaterThan">
      <formula>24%</formula>
    </cfRule>
    <cfRule type="cellIs" dxfId="587" priority="46" operator="between">
      <formula>19.1%</formula>
      <formula>24%</formula>
    </cfRule>
    <cfRule type="cellIs" dxfId="586" priority="47" operator="between">
      <formula>9%</formula>
      <formula>19%</formula>
    </cfRule>
    <cfRule type="cellIs" dxfId="585" priority="48" operator="lessThan">
      <formula>9%</formula>
    </cfRule>
  </conditionalFormatting>
  <conditionalFormatting sqref="U26">
    <cfRule type="cellIs" dxfId="584" priority="41" operator="greaterThan">
      <formula>24%</formula>
    </cfRule>
    <cfRule type="cellIs" dxfId="583" priority="42" operator="between">
      <formula>19.1%</formula>
      <formula>24%</formula>
    </cfRule>
    <cfRule type="cellIs" dxfId="582" priority="43" operator="between">
      <formula>9%</formula>
      <formula>19%</formula>
    </cfRule>
    <cfRule type="cellIs" dxfId="581" priority="44" operator="lessThan">
      <formula>9%</formula>
    </cfRule>
  </conditionalFormatting>
  <conditionalFormatting sqref="S26:T26">
    <cfRule type="cellIs" dxfId="580" priority="37" operator="greaterThan">
      <formula>24%</formula>
    </cfRule>
    <cfRule type="cellIs" dxfId="579" priority="38" operator="between">
      <formula>19.1%</formula>
      <formula>24%</formula>
    </cfRule>
    <cfRule type="cellIs" dxfId="578" priority="39" operator="between">
      <formula>9%</formula>
      <formula>19%</formula>
    </cfRule>
    <cfRule type="cellIs" dxfId="577" priority="40"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5"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1:Q32"/>
  <sheetViews>
    <sheetView showGridLines="0" zoomScale="80" zoomScaleNormal="80" zoomScalePageLayoutView="50" workbookViewId="0">
      <pane xSplit="3" ySplit="3" topLeftCell="D4" activePane="bottomRight" state="frozen"/>
      <selection sqref="A1:A3"/>
      <selection pane="topRight" sqref="A1:A3"/>
      <selection pane="bottomLeft" sqref="A1:A3"/>
      <selection pane="bottomRight" activeCell="I6" sqref="I6"/>
    </sheetView>
  </sheetViews>
  <sheetFormatPr baseColWidth="10" defaultRowHeight="15" x14ac:dyDescent="0.25"/>
  <cols>
    <col min="1" max="1" width="11" customWidth="1"/>
    <col min="2" max="2" width="18.5703125" customWidth="1"/>
    <col min="3" max="3" width="57.140625" customWidth="1"/>
    <col min="4" max="4" width="14.5703125" customWidth="1"/>
    <col min="5" max="5" width="13" customWidth="1"/>
    <col min="6" max="6" width="22.140625" customWidth="1"/>
    <col min="7" max="7" width="19" customWidth="1"/>
    <col min="8" max="8" width="19.28515625" customWidth="1"/>
    <col min="9" max="9" width="73.85546875" customWidth="1"/>
    <col min="10" max="10" width="16.28515625" customWidth="1"/>
    <col min="11" max="11" width="14.28515625" customWidth="1"/>
    <col min="12" max="17" width="11.42578125" customWidth="1"/>
  </cols>
  <sheetData>
    <row r="1" spans="1:17" ht="15" customHeight="1" x14ac:dyDescent="0.25">
      <c r="A1" s="469" t="s">
        <v>10</v>
      </c>
      <c r="B1" s="471" t="s">
        <v>11</v>
      </c>
      <c r="C1" s="471" t="s">
        <v>12</v>
      </c>
      <c r="D1" s="467" t="s">
        <v>15</v>
      </c>
      <c r="E1" s="473" t="s">
        <v>16</v>
      </c>
      <c r="F1" s="350" t="s">
        <v>0</v>
      </c>
      <c r="G1" s="350" t="s">
        <v>1</v>
      </c>
      <c r="H1" s="350" t="s">
        <v>2</v>
      </c>
      <c r="I1" s="350"/>
      <c r="J1" s="467" t="s">
        <v>829</v>
      </c>
      <c r="K1" s="351" t="s">
        <v>5</v>
      </c>
      <c r="L1" s="352" t="s">
        <v>6</v>
      </c>
      <c r="M1" s="353" t="s">
        <v>7</v>
      </c>
      <c r="N1" s="89"/>
      <c r="O1" s="89"/>
      <c r="P1" s="89"/>
      <c r="Q1" s="89"/>
    </row>
    <row r="2" spans="1:17" ht="28.5" customHeight="1" thickBot="1" x14ac:dyDescent="0.3">
      <c r="A2" s="470"/>
      <c r="B2" s="472"/>
      <c r="C2" s="472"/>
      <c r="D2" s="468"/>
      <c r="E2" s="474"/>
      <c r="F2" s="475" t="s">
        <v>17</v>
      </c>
      <c r="G2" s="475"/>
      <c r="H2" s="475"/>
      <c r="I2" s="368"/>
      <c r="J2" s="468"/>
      <c r="K2" s="476" t="s">
        <v>20</v>
      </c>
      <c r="L2" s="476"/>
      <c r="M2" s="477"/>
      <c r="N2" s="369"/>
      <c r="O2" s="369"/>
      <c r="P2" s="369"/>
      <c r="Q2" s="369"/>
    </row>
    <row r="3" spans="1:17" ht="23.25" customHeight="1" x14ac:dyDescent="0.25">
      <c r="A3" s="463" t="s">
        <v>188</v>
      </c>
      <c r="B3" s="370" t="s">
        <v>189</v>
      </c>
      <c r="C3" s="370" t="s">
        <v>190</v>
      </c>
      <c r="D3" s="371">
        <v>219</v>
      </c>
      <c r="E3" s="372" t="s">
        <v>867</v>
      </c>
      <c r="F3" s="373">
        <v>168461571</v>
      </c>
      <c r="G3" s="373">
        <v>162049804</v>
      </c>
      <c r="H3" s="373">
        <f>+F3-G3</f>
        <v>6411767</v>
      </c>
      <c r="I3" s="359" t="s">
        <v>868</v>
      </c>
      <c r="J3" s="371">
        <f>28+7+178+20</f>
        <v>233</v>
      </c>
      <c r="K3" s="310">
        <f t="shared" ref="K3" si="0">+G3/F3</f>
        <v>0.96193928999985401</v>
      </c>
      <c r="L3" s="310">
        <f t="shared" ref="L3:L23" si="1">+J3/D3</f>
        <v>1.0639269406392695</v>
      </c>
      <c r="M3" s="317">
        <f t="shared" ref="M3:M23" si="2">(K3+L3)/2</f>
        <v>1.0129331153195618</v>
      </c>
      <c r="N3" s="89"/>
      <c r="O3" s="89"/>
      <c r="P3" s="89"/>
      <c r="Q3" s="89"/>
    </row>
    <row r="4" spans="1:17" ht="69.75" customHeight="1" x14ac:dyDescent="0.25">
      <c r="A4" s="463"/>
      <c r="B4" s="374" t="s">
        <v>191</v>
      </c>
      <c r="C4" s="374" t="s">
        <v>192</v>
      </c>
      <c r="D4" s="375">
        <v>7</v>
      </c>
      <c r="E4" s="376" t="s">
        <v>193</v>
      </c>
      <c r="F4" s="377">
        <v>0</v>
      </c>
      <c r="G4" s="377">
        <v>0</v>
      </c>
      <c r="H4" s="377">
        <f t="shared" ref="H4:H22" si="3">+F4-G4</f>
        <v>0</v>
      </c>
      <c r="I4" s="359" t="s">
        <v>869</v>
      </c>
      <c r="J4" s="375">
        <v>9</v>
      </c>
      <c r="K4" s="309">
        <v>0</v>
      </c>
      <c r="L4" s="309">
        <f t="shared" si="1"/>
        <v>1.2857142857142858</v>
      </c>
      <c r="M4" s="316">
        <f t="shared" si="2"/>
        <v>0.6428571428571429</v>
      </c>
      <c r="N4" s="89"/>
      <c r="O4" s="89"/>
      <c r="P4" s="89"/>
      <c r="Q4" s="89"/>
    </row>
    <row r="5" spans="1:17" ht="67.5" x14ac:dyDescent="0.25">
      <c r="A5" s="464"/>
      <c r="B5" s="374" t="s">
        <v>194</v>
      </c>
      <c r="C5" s="374" t="s">
        <v>195</v>
      </c>
      <c r="D5" s="375">
        <v>2</v>
      </c>
      <c r="E5" s="376" t="s">
        <v>196</v>
      </c>
      <c r="F5" s="377">
        <v>4700000</v>
      </c>
      <c r="G5" s="377">
        <v>3446863</v>
      </c>
      <c r="H5" s="377">
        <f t="shared" si="3"/>
        <v>1253137</v>
      </c>
      <c r="I5" s="359" t="s">
        <v>870</v>
      </c>
      <c r="J5" s="375">
        <v>2</v>
      </c>
      <c r="K5" s="309">
        <f t="shared" ref="K5:K23" si="4">+G5/F5</f>
        <v>0.73337510638297876</v>
      </c>
      <c r="L5" s="309">
        <f t="shared" si="1"/>
        <v>1</v>
      </c>
      <c r="M5" s="316">
        <f t="shared" si="2"/>
        <v>0.86668755319148938</v>
      </c>
      <c r="N5" s="89"/>
      <c r="O5" s="89"/>
      <c r="P5" s="89"/>
      <c r="Q5" s="89"/>
    </row>
    <row r="6" spans="1:17" ht="47.25" customHeight="1" x14ac:dyDescent="0.25">
      <c r="A6" s="378" t="s">
        <v>197</v>
      </c>
      <c r="B6" s="374" t="s">
        <v>198</v>
      </c>
      <c r="C6" s="374" t="s">
        <v>199</v>
      </c>
      <c r="D6" s="375">
        <v>1</v>
      </c>
      <c r="E6" s="376" t="s">
        <v>871</v>
      </c>
      <c r="F6" s="377">
        <v>70000000</v>
      </c>
      <c r="G6" s="377">
        <v>49102629</v>
      </c>
      <c r="H6" s="377">
        <f t="shared" si="3"/>
        <v>20897371</v>
      </c>
      <c r="I6" s="359" t="s">
        <v>872</v>
      </c>
      <c r="J6" s="375">
        <v>1</v>
      </c>
      <c r="K6" s="309">
        <f t="shared" si="4"/>
        <v>0.70146612857142854</v>
      </c>
      <c r="L6" s="309">
        <f t="shared" si="1"/>
        <v>1</v>
      </c>
      <c r="M6" s="316">
        <f t="shared" si="2"/>
        <v>0.85073306428571427</v>
      </c>
      <c r="N6" s="89"/>
      <c r="O6" s="89"/>
      <c r="P6" s="89"/>
      <c r="Q6" s="89"/>
    </row>
    <row r="7" spans="1:17" ht="77.25" customHeight="1" x14ac:dyDescent="0.25">
      <c r="A7" s="465" t="s">
        <v>200</v>
      </c>
      <c r="B7" s="374" t="s">
        <v>201</v>
      </c>
      <c r="C7" s="374" t="s">
        <v>202</v>
      </c>
      <c r="D7" s="375">
        <v>5</v>
      </c>
      <c r="E7" s="376" t="s">
        <v>203</v>
      </c>
      <c r="F7" s="377">
        <v>30000000</v>
      </c>
      <c r="G7" s="377">
        <v>27096483</v>
      </c>
      <c r="H7" s="377">
        <f t="shared" si="3"/>
        <v>2903517</v>
      </c>
      <c r="I7" s="379" t="s">
        <v>873</v>
      </c>
      <c r="J7" s="375">
        <v>2</v>
      </c>
      <c r="K7" s="309">
        <f t="shared" si="4"/>
        <v>0.90321609999999997</v>
      </c>
      <c r="L7" s="309">
        <f t="shared" si="1"/>
        <v>0.4</v>
      </c>
      <c r="M7" s="316">
        <f t="shared" si="2"/>
        <v>0.65160804999999999</v>
      </c>
      <c r="N7" s="89"/>
      <c r="O7" s="89"/>
      <c r="P7" s="89"/>
      <c r="Q7" s="89"/>
    </row>
    <row r="8" spans="1:17" ht="28.5" customHeight="1" x14ac:dyDescent="0.25">
      <c r="A8" s="463"/>
      <c r="B8" s="374" t="s">
        <v>204</v>
      </c>
      <c r="C8" s="374" t="s">
        <v>205</v>
      </c>
      <c r="D8" s="375">
        <v>20</v>
      </c>
      <c r="E8" s="376" t="s">
        <v>874</v>
      </c>
      <c r="F8" s="377">
        <v>1021970469</v>
      </c>
      <c r="G8" s="377">
        <v>784669669</v>
      </c>
      <c r="H8" s="377">
        <f t="shared" si="3"/>
        <v>237300800</v>
      </c>
      <c r="I8" s="359" t="s">
        <v>875</v>
      </c>
      <c r="J8" s="375">
        <v>20</v>
      </c>
      <c r="K8" s="309">
        <f t="shared" si="4"/>
        <v>0.7678007269307896</v>
      </c>
      <c r="L8" s="309">
        <f t="shared" si="1"/>
        <v>1</v>
      </c>
      <c r="M8" s="316">
        <f t="shared" si="2"/>
        <v>0.8839003634653948</v>
      </c>
      <c r="N8" s="89"/>
      <c r="O8" s="89"/>
      <c r="P8" s="89"/>
      <c r="Q8" s="89"/>
    </row>
    <row r="9" spans="1:17" ht="409.5" x14ac:dyDescent="0.25">
      <c r="A9" s="463"/>
      <c r="B9" s="374" t="s">
        <v>206</v>
      </c>
      <c r="C9" s="374" t="s">
        <v>207</v>
      </c>
      <c r="D9" s="375">
        <v>43</v>
      </c>
      <c r="E9" s="376" t="s">
        <v>208</v>
      </c>
      <c r="F9" s="377">
        <v>250000000</v>
      </c>
      <c r="G9" s="377">
        <v>232956891</v>
      </c>
      <c r="H9" s="377">
        <f t="shared" si="3"/>
        <v>17043109</v>
      </c>
      <c r="I9" s="359" t="s">
        <v>876</v>
      </c>
      <c r="J9" s="375">
        <v>54</v>
      </c>
      <c r="K9" s="309">
        <f t="shared" si="4"/>
        <v>0.931827564</v>
      </c>
      <c r="L9" s="309">
        <f t="shared" si="1"/>
        <v>1.2558139534883721</v>
      </c>
      <c r="M9" s="316">
        <f t="shared" si="2"/>
        <v>1.0938207587441862</v>
      </c>
      <c r="N9" s="89"/>
      <c r="O9" s="89"/>
      <c r="P9" s="89"/>
      <c r="Q9" s="89"/>
    </row>
    <row r="10" spans="1:17" ht="51.75" customHeight="1" x14ac:dyDescent="0.25">
      <c r="A10" s="463"/>
      <c r="B10" s="374" t="s">
        <v>209</v>
      </c>
      <c r="C10" s="374" t="s">
        <v>210</v>
      </c>
      <c r="D10" s="375">
        <v>19</v>
      </c>
      <c r="E10" s="376" t="s">
        <v>877</v>
      </c>
      <c r="F10" s="377">
        <v>14500000</v>
      </c>
      <c r="G10" s="377">
        <v>11629639</v>
      </c>
      <c r="H10" s="377">
        <f t="shared" si="3"/>
        <v>2870361</v>
      </c>
      <c r="I10" s="359" t="s">
        <v>878</v>
      </c>
      <c r="J10" s="375">
        <f>12+1+2+15+35</f>
        <v>65</v>
      </c>
      <c r="K10" s="309">
        <f t="shared" si="4"/>
        <v>0.80204406896551728</v>
      </c>
      <c r="L10" s="309">
        <f t="shared" si="1"/>
        <v>3.4210526315789473</v>
      </c>
      <c r="M10" s="316">
        <f t="shared" si="2"/>
        <v>2.1115483502722325</v>
      </c>
      <c r="N10" s="89"/>
      <c r="O10" s="89"/>
      <c r="P10" s="89"/>
      <c r="Q10" s="89"/>
    </row>
    <row r="11" spans="1:17" ht="87" customHeight="1" x14ac:dyDescent="0.25">
      <c r="A11" s="463"/>
      <c r="B11" s="374" t="s">
        <v>211</v>
      </c>
      <c r="C11" s="374" t="s">
        <v>212</v>
      </c>
      <c r="D11" s="375">
        <v>48</v>
      </c>
      <c r="E11" s="376" t="s">
        <v>143</v>
      </c>
      <c r="F11" s="377">
        <v>11500000</v>
      </c>
      <c r="G11" s="377">
        <v>5480283</v>
      </c>
      <c r="H11" s="377">
        <f t="shared" si="3"/>
        <v>6019717</v>
      </c>
      <c r="I11" s="359" t="s">
        <v>879</v>
      </c>
      <c r="J11" s="375">
        <v>5</v>
      </c>
      <c r="K11" s="309">
        <f t="shared" si="4"/>
        <v>0.47654634782608696</v>
      </c>
      <c r="L11" s="309">
        <f t="shared" si="1"/>
        <v>0.10416666666666667</v>
      </c>
      <c r="M11" s="316">
        <f t="shared" si="2"/>
        <v>0.29035650724637679</v>
      </c>
      <c r="N11" s="89"/>
      <c r="O11" s="89"/>
      <c r="P11" s="89"/>
      <c r="Q11" s="89"/>
    </row>
    <row r="12" spans="1:17" ht="35.25" customHeight="1" x14ac:dyDescent="0.25">
      <c r="A12" s="463"/>
      <c r="B12" s="374" t="s">
        <v>213</v>
      </c>
      <c r="C12" s="374" t="s">
        <v>214</v>
      </c>
      <c r="D12" s="375">
        <v>50</v>
      </c>
      <c r="E12" s="376" t="s">
        <v>880</v>
      </c>
      <c r="F12" s="377">
        <v>506095510</v>
      </c>
      <c r="G12" s="377">
        <v>484418412</v>
      </c>
      <c r="H12" s="377">
        <f t="shared" si="3"/>
        <v>21677098</v>
      </c>
      <c r="I12" s="359" t="s">
        <v>881</v>
      </c>
      <c r="J12" s="375">
        <v>45</v>
      </c>
      <c r="K12" s="309">
        <f t="shared" si="4"/>
        <v>0.95716797013275223</v>
      </c>
      <c r="L12" s="309">
        <f t="shared" si="1"/>
        <v>0.9</v>
      </c>
      <c r="M12" s="316">
        <f t="shared" si="2"/>
        <v>0.92858398506637618</v>
      </c>
      <c r="N12" s="89"/>
      <c r="O12" s="89"/>
      <c r="P12" s="89"/>
      <c r="Q12" s="89"/>
    </row>
    <row r="13" spans="1:17" ht="96" customHeight="1" x14ac:dyDescent="0.25">
      <c r="A13" s="380" t="s">
        <v>219</v>
      </c>
      <c r="B13" s="374" t="s">
        <v>220</v>
      </c>
      <c r="C13" s="374" t="s">
        <v>221</v>
      </c>
      <c r="D13" s="375">
        <v>25</v>
      </c>
      <c r="E13" s="376" t="s">
        <v>882</v>
      </c>
      <c r="F13" s="377">
        <v>30000000</v>
      </c>
      <c r="G13" s="377">
        <v>29440245</v>
      </c>
      <c r="H13" s="377">
        <f t="shared" si="3"/>
        <v>559755</v>
      </c>
      <c r="I13" s="359" t="s">
        <v>883</v>
      </c>
      <c r="J13" s="381">
        <v>71</v>
      </c>
      <c r="K13" s="309">
        <f t="shared" si="4"/>
        <v>0.98134149999999998</v>
      </c>
      <c r="L13" s="309">
        <f t="shared" si="1"/>
        <v>2.84</v>
      </c>
      <c r="M13" s="316">
        <f t="shared" si="2"/>
        <v>1.91067075</v>
      </c>
      <c r="N13" s="382" t="s">
        <v>884</v>
      </c>
      <c r="O13" s="89"/>
      <c r="P13" s="89"/>
      <c r="Q13" s="89"/>
    </row>
    <row r="14" spans="1:17" ht="36" customHeight="1" x14ac:dyDescent="0.25">
      <c r="A14" s="465" t="s">
        <v>222</v>
      </c>
      <c r="B14" s="374" t="s">
        <v>223</v>
      </c>
      <c r="C14" s="374" t="s">
        <v>224</v>
      </c>
      <c r="D14" s="375">
        <v>1</v>
      </c>
      <c r="E14" s="376" t="s">
        <v>885</v>
      </c>
      <c r="F14" s="377">
        <v>10000000</v>
      </c>
      <c r="G14" s="377">
        <v>9929946</v>
      </c>
      <c r="H14" s="377">
        <f t="shared" si="3"/>
        <v>70054</v>
      </c>
      <c r="I14" s="359" t="s">
        <v>886</v>
      </c>
      <c r="J14" s="375">
        <v>6</v>
      </c>
      <c r="K14" s="309">
        <f t="shared" si="4"/>
        <v>0.99299459999999995</v>
      </c>
      <c r="L14" s="309">
        <f t="shared" si="1"/>
        <v>6</v>
      </c>
      <c r="M14" s="316">
        <f t="shared" si="2"/>
        <v>3.4964973000000001</v>
      </c>
      <c r="N14" s="89"/>
      <c r="O14" s="89"/>
      <c r="P14" s="89"/>
      <c r="Q14" s="89"/>
    </row>
    <row r="15" spans="1:17" ht="34.5" customHeight="1" x14ac:dyDescent="0.25">
      <c r="A15" s="463"/>
      <c r="B15" s="374" t="s">
        <v>225</v>
      </c>
      <c r="C15" s="374" t="s">
        <v>226</v>
      </c>
      <c r="D15" s="375">
        <v>1</v>
      </c>
      <c r="E15" s="376" t="s">
        <v>887</v>
      </c>
      <c r="F15" s="377">
        <v>10000000</v>
      </c>
      <c r="G15" s="377">
        <v>10000000</v>
      </c>
      <c r="H15" s="377">
        <f t="shared" si="3"/>
        <v>0</v>
      </c>
      <c r="I15" s="359" t="s">
        <v>888</v>
      </c>
      <c r="J15" s="375">
        <v>1</v>
      </c>
      <c r="K15" s="309">
        <f t="shared" si="4"/>
        <v>1</v>
      </c>
      <c r="L15" s="309">
        <f t="shared" si="1"/>
        <v>1</v>
      </c>
      <c r="M15" s="316">
        <f t="shared" si="2"/>
        <v>1</v>
      </c>
      <c r="N15" s="89"/>
      <c r="O15" s="89"/>
      <c r="P15" s="89"/>
      <c r="Q15" s="89"/>
    </row>
    <row r="16" spans="1:17" ht="45" customHeight="1" x14ac:dyDescent="0.25">
      <c r="A16" s="464"/>
      <c r="B16" s="374" t="s">
        <v>369</v>
      </c>
      <c r="C16" s="374" t="s">
        <v>687</v>
      </c>
      <c r="D16" s="375">
        <v>1</v>
      </c>
      <c r="E16" s="376" t="s">
        <v>889</v>
      </c>
      <c r="F16" s="377">
        <v>4826876</v>
      </c>
      <c r="G16" s="377">
        <v>0</v>
      </c>
      <c r="H16" s="377">
        <f t="shared" si="3"/>
        <v>4826876</v>
      </c>
      <c r="I16" s="359" t="s">
        <v>890</v>
      </c>
      <c r="J16" s="375">
        <v>1</v>
      </c>
      <c r="K16" s="309">
        <f t="shared" si="4"/>
        <v>0</v>
      </c>
      <c r="L16" s="309">
        <f t="shared" si="1"/>
        <v>1</v>
      </c>
      <c r="M16" s="316">
        <f t="shared" si="2"/>
        <v>0.5</v>
      </c>
      <c r="N16" s="89"/>
      <c r="O16" s="89"/>
      <c r="P16" s="89"/>
      <c r="Q16" s="89"/>
    </row>
    <row r="17" spans="1:17" ht="45" customHeight="1" x14ac:dyDescent="0.25">
      <c r="A17" s="380" t="s">
        <v>227</v>
      </c>
      <c r="B17" s="374" t="s">
        <v>228</v>
      </c>
      <c r="C17" s="374" t="s">
        <v>229</v>
      </c>
      <c r="D17" s="375">
        <v>2</v>
      </c>
      <c r="E17" s="376" t="s">
        <v>113</v>
      </c>
      <c r="F17" s="377">
        <v>60000000</v>
      </c>
      <c r="G17" s="377">
        <v>59981381</v>
      </c>
      <c r="H17" s="377">
        <f t="shared" si="3"/>
        <v>18619</v>
      </c>
      <c r="I17" s="359" t="s">
        <v>891</v>
      </c>
      <c r="J17" s="381">
        <v>1</v>
      </c>
      <c r="K17" s="309">
        <f t="shared" si="4"/>
        <v>0.9996896833333333</v>
      </c>
      <c r="L17" s="309">
        <f t="shared" si="1"/>
        <v>0.5</v>
      </c>
      <c r="M17" s="316">
        <f t="shared" si="2"/>
        <v>0.74984484166666665</v>
      </c>
      <c r="N17" s="89"/>
      <c r="O17" s="89"/>
      <c r="P17" s="89"/>
      <c r="Q17" s="89"/>
    </row>
    <row r="18" spans="1:17" ht="45" customHeight="1" x14ac:dyDescent="0.25">
      <c r="A18" s="465" t="s">
        <v>235</v>
      </c>
      <c r="B18" s="374" t="s">
        <v>236</v>
      </c>
      <c r="C18" s="374" t="s">
        <v>237</v>
      </c>
      <c r="D18" s="375">
        <v>1</v>
      </c>
      <c r="E18" s="376" t="s">
        <v>116</v>
      </c>
      <c r="F18" s="377">
        <v>5000000</v>
      </c>
      <c r="G18" s="377">
        <v>5000000</v>
      </c>
      <c r="H18" s="377">
        <f t="shared" si="3"/>
        <v>0</v>
      </c>
      <c r="I18" s="359" t="s">
        <v>892</v>
      </c>
      <c r="J18" s="381">
        <v>1</v>
      </c>
      <c r="K18" s="309">
        <f t="shared" si="4"/>
        <v>1</v>
      </c>
      <c r="L18" s="309">
        <f t="shared" si="1"/>
        <v>1</v>
      </c>
      <c r="M18" s="316">
        <f t="shared" si="2"/>
        <v>1</v>
      </c>
      <c r="N18" s="383"/>
      <c r="O18" s="383"/>
      <c r="P18" s="89"/>
      <c r="Q18" s="89"/>
    </row>
    <row r="19" spans="1:17" ht="45" customHeight="1" x14ac:dyDescent="0.25">
      <c r="A19" s="464"/>
      <c r="B19" s="374" t="s">
        <v>238</v>
      </c>
      <c r="C19" s="374" t="s">
        <v>239</v>
      </c>
      <c r="D19" s="375">
        <v>1</v>
      </c>
      <c r="E19" s="376" t="s">
        <v>240</v>
      </c>
      <c r="F19" s="377">
        <v>5000000</v>
      </c>
      <c r="G19" s="377">
        <v>2728029</v>
      </c>
      <c r="H19" s="377">
        <f t="shared" si="3"/>
        <v>2271971</v>
      </c>
      <c r="I19" s="359" t="s">
        <v>893</v>
      </c>
      <c r="J19" s="381">
        <v>0.6</v>
      </c>
      <c r="K19" s="309">
        <f t="shared" si="4"/>
        <v>0.54560580000000003</v>
      </c>
      <c r="L19" s="309">
        <f t="shared" si="1"/>
        <v>0.6</v>
      </c>
      <c r="M19" s="316">
        <f t="shared" si="2"/>
        <v>0.5728029</v>
      </c>
      <c r="N19" s="89"/>
      <c r="O19" s="89"/>
      <c r="P19" s="89"/>
      <c r="Q19" s="89"/>
    </row>
    <row r="20" spans="1:17" ht="45" customHeight="1" x14ac:dyDescent="0.25">
      <c r="A20" s="465" t="s">
        <v>241</v>
      </c>
      <c r="B20" s="374" t="s">
        <v>242</v>
      </c>
      <c r="C20" s="374" t="s">
        <v>243</v>
      </c>
      <c r="D20" s="375">
        <v>1</v>
      </c>
      <c r="E20" s="376" t="s">
        <v>894</v>
      </c>
      <c r="F20" s="377">
        <v>0</v>
      </c>
      <c r="G20" s="377">
        <v>0</v>
      </c>
      <c r="H20" s="377">
        <f t="shared" si="3"/>
        <v>0</v>
      </c>
      <c r="I20" s="359" t="s">
        <v>895</v>
      </c>
      <c r="J20" s="381">
        <v>1</v>
      </c>
      <c r="K20" s="309">
        <v>0</v>
      </c>
      <c r="L20" s="309">
        <f t="shared" si="1"/>
        <v>1</v>
      </c>
      <c r="M20" s="316">
        <f t="shared" si="2"/>
        <v>0.5</v>
      </c>
      <c r="N20" s="384"/>
      <c r="O20" s="89"/>
      <c r="P20" s="89"/>
      <c r="Q20" s="89"/>
    </row>
    <row r="21" spans="1:17" ht="45" customHeight="1" x14ac:dyDescent="0.25">
      <c r="A21" s="463"/>
      <c r="B21" s="374" t="s">
        <v>244</v>
      </c>
      <c r="C21" s="374" t="s">
        <v>245</v>
      </c>
      <c r="D21" s="375">
        <v>1</v>
      </c>
      <c r="E21" s="376" t="s">
        <v>896</v>
      </c>
      <c r="F21" s="377">
        <v>200000</v>
      </c>
      <c r="G21" s="377">
        <v>200000</v>
      </c>
      <c r="H21" s="377">
        <f t="shared" si="3"/>
        <v>0</v>
      </c>
      <c r="I21" s="359" t="s">
        <v>897</v>
      </c>
      <c r="J21" s="375">
        <v>1</v>
      </c>
      <c r="K21" s="309">
        <f t="shared" si="4"/>
        <v>1</v>
      </c>
      <c r="L21" s="309">
        <f t="shared" si="1"/>
        <v>1</v>
      </c>
      <c r="M21" s="316">
        <f t="shared" si="2"/>
        <v>1</v>
      </c>
      <c r="N21" s="89"/>
      <c r="O21" s="89"/>
      <c r="P21" s="89"/>
      <c r="Q21" s="89"/>
    </row>
    <row r="22" spans="1:17" ht="68.25" customHeight="1" x14ac:dyDescent="0.25">
      <c r="A22" s="463"/>
      <c r="B22" s="374" t="s">
        <v>246</v>
      </c>
      <c r="C22" s="374" t="s">
        <v>247</v>
      </c>
      <c r="D22" s="375">
        <v>5</v>
      </c>
      <c r="E22" s="376" t="s">
        <v>898</v>
      </c>
      <c r="F22" s="377">
        <v>286800000</v>
      </c>
      <c r="G22" s="377">
        <v>282873643</v>
      </c>
      <c r="H22" s="377">
        <f t="shared" si="3"/>
        <v>3926357</v>
      </c>
      <c r="I22" s="359" t="s">
        <v>899</v>
      </c>
      <c r="J22" s="381">
        <v>9</v>
      </c>
      <c r="K22" s="309">
        <f t="shared" si="4"/>
        <v>0.98630977336122738</v>
      </c>
      <c r="L22" s="309">
        <f t="shared" si="1"/>
        <v>1.8</v>
      </c>
      <c r="M22" s="316">
        <f t="shared" si="2"/>
        <v>1.3931548866806138</v>
      </c>
      <c r="N22" s="382"/>
      <c r="O22" s="89"/>
      <c r="P22" s="89"/>
      <c r="Q22" s="89"/>
    </row>
    <row r="23" spans="1:17" ht="39" customHeight="1" thickBot="1" x14ac:dyDescent="0.3">
      <c r="A23" s="466"/>
      <c r="B23" s="385" t="s">
        <v>248</v>
      </c>
      <c r="C23" s="385" t="s">
        <v>249</v>
      </c>
      <c r="D23" s="386">
        <v>5000</v>
      </c>
      <c r="E23" s="387" t="s">
        <v>250</v>
      </c>
      <c r="F23" s="388">
        <v>69336553</v>
      </c>
      <c r="G23" s="388">
        <v>56567562</v>
      </c>
      <c r="H23" s="388">
        <f>+F23-G23</f>
        <v>12768991</v>
      </c>
      <c r="I23" s="359" t="s">
        <v>900</v>
      </c>
      <c r="J23" s="389">
        <v>5000</v>
      </c>
      <c r="K23" s="267">
        <f t="shared" si="4"/>
        <v>0.81584041248776817</v>
      </c>
      <c r="L23" s="267">
        <f t="shared" si="1"/>
        <v>1</v>
      </c>
      <c r="M23" s="268">
        <f t="shared" si="2"/>
        <v>0.90792020624388403</v>
      </c>
      <c r="N23" s="89"/>
      <c r="O23" s="89"/>
      <c r="P23" s="89"/>
      <c r="Q23" s="89"/>
    </row>
    <row r="24" spans="1:17" ht="30.75" customHeight="1" x14ac:dyDescent="0.25">
      <c r="A24" s="390"/>
      <c r="B24" s="89"/>
      <c r="C24" s="89"/>
      <c r="D24" s="198"/>
      <c r="E24" s="198"/>
      <c r="F24" s="391"/>
      <c r="G24" s="391"/>
      <c r="H24" s="391"/>
      <c r="I24" s="391"/>
      <c r="J24" s="198"/>
      <c r="K24" s="392"/>
      <c r="L24" s="393"/>
      <c r="M24" s="392"/>
      <c r="N24" s="89"/>
      <c r="O24" s="89"/>
      <c r="P24" s="89"/>
      <c r="Q24" s="89"/>
    </row>
    <row r="25" spans="1:17" ht="69.75" customHeight="1" x14ac:dyDescent="0.25">
      <c r="A25" s="390"/>
      <c r="B25" s="89"/>
      <c r="C25" s="89"/>
      <c r="D25" s="198"/>
      <c r="E25" s="198"/>
      <c r="F25" s="391"/>
      <c r="G25" s="391"/>
      <c r="H25" s="391"/>
      <c r="I25" s="391"/>
      <c r="J25" s="198"/>
      <c r="K25" s="392"/>
      <c r="L25" s="393"/>
      <c r="M25" s="392"/>
      <c r="N25" s="89"/>
      <c r="O25" s="89"/>
      <c r="P25" s="89"/>
      <c r="Q25" s="89"/>
    </row>
    <row r="26" spans="1:17" x14ac:dyDescent="0.25">
      <c r="A26" s="390"/>
      <c r="B26" s="89"/>
      <c r="C26" s="89"/>
      <c r="D26" s="198"/>
      <c r="E26" s="198"/>
      <c r="F26" s="391"/>
      <c r="G26" s="391"/>
      <c r="H26" s="391"/>
      <c r="I26" s="391"/>
      <c r="J26" s="198"/>
      <c r="K26" s="392"/>
      <c r="L26" s="393"/>
      <c r="M26" s="392"/>
      <c r="N26" s="89"/>
      <c r="O26" s="89"/>
      <c r="P26" s="89"/>
      <c r="Q26" s="89"/>
    </row>
    <row r="27" spans="1:17" ht="30.75" customHeight="1" x14ac:dyDescent="0.25">
      <c r="A27" s="390"/>
      <c r="B27" s="89"/>
      <c r="C27" s="89"/>
      <c r="D27" s="198"/>
      <c r="E27" s="198"/>
      <c r="F27" s="391"/>
      <c r="G27" s="391"/>
      <c r="H27" s="391"/>
      <c r="I27" s="391"/>
      <c r="J27" s="198"/>
      <c r="K27" s="392"/>
      <c r="L27" s="393"/>
      <c r="M27" s="392"/>
      <c r="N27" s="89"/>
      <c r="O27" s="89"/>
      <c r="P27" s="89"/>
      <c r="Q27" s="89"/>
    </row>
    <row r="28" spans="1:17" ht="21" customHeight="1" x14ac:dyDescent="0.25">
      <c r="A28" s="390"/>
      <c r="B28" s="89"/>
      <c r="C28" s="89"/>
      <c r="D28" s="198"/>
      <c r="E28" s="198"/>
      <c r="F28" s="391"/>
      <c r="G28" s="391"/>
      <c r="H28" s="391"/>
      <c r="I28" s="391"/>
      <c r="J28" s="198"/>
      <c r="K28" s="392"/>
      <c r="L28" s="393"/>
      <c r="M28" s="392"/>
      <c r="N28" s="89"/>
      <c r="O28" s="89"/>
      <c r="P28" s="89"/>
      <c r="Q28" s="89"/>
    </row>
    <row r="29" spans="1:17" s="20" customFormat="1" ht="51" customHeight="1" x14ac:dyDescent="0.25">
      <c r="A29" s="390"/>
      <c r="B29" s="89"/>
      <c r="C29" s="89"/>
      <c r="D29" s="198"/>
      <c r="E29" s="198"/>
      <c r="F29" s="391"/>
      <c r="G29" s="391"/>
      <c r="H29" s="391"/>
      <c r="I29" s="391"/>
      <c r="J29" s="198"/>
      <c r="K29" s="392"/>
      <c r="L29" s="393"/>
      <c r="M29" s="392"/>
      <c r="N29" s="89"/>
      <c r="O29" s="89"/>
      <c r="P29" s="89"/>
      <c r="Q29" s="89"/>
    </row>
    <row r="30" spans="1:17" s="20" customFormat="1" ht="51.75" customHeight="1" x14ac:dyDescent="0.25">
      <c r="A30" s="390"/>
      <c r="B30" s="89"/>
      <c r="C30" s="89"/>
      <c r="D30" s="198"/>
      <c r="E30" s="198"/>
      <c r="F30" s="391"/>
      <c r="G30" s="391"/>
      <c r="H30" s="391"/>
      <c r="I30" s="391"/>
      <c r="J30" s="198"/>
      <c r="K30" s="392"/>
      <c r="L30" s="393"/>
      <c r="M30" s="392"/>
      <c r="N30" s="89"/>
      <c r="O30" s="89"/>
      <c r="P30" s="89"/>
      <c r="Q30" s="89"/>
    </row>
    <row r="31" spans="1:17" ht="59.25" customHeight="1" x14ac:dyDescent="0.25">
      <c r="A31" s="390"/>
      <c r="B31" s="89"/>
      <c r="C31" s="89"/>
      <c r="D31" s="198"/>
      <c r="E31" s="198"/>
      <c r="F31" s="391"/>
      <c r="G31" s="391"/>
      <c r="H31" s="391"/>
      <c r="I31" s="391"/>
      <c r="J31" s="198"/>
      <c r="K31" s="392"/>
      <c r="L31" s="393"/>
      <c r="M31" s="392"/>
      <c r="N31" s="89"/>
      <c r="O31" s="89"/>
      <c r="P31" s="89"/>
      <c r="Q31" s="89"/>
    </row>
    <row r="32" spans="1:17" ht="72" customHeight="1" x14ac:dyDescent="0.25">
      <c r="A32" s="390"/>
      <c r="B32" s="89"/>
      <c r="C32" s="89"/>
      <c r="D32" s="198"/>
      <c r="E32" s="198"/>
      <c r="F32" s="391"/>
      <c r="G32" s="391"/>
      <c r="H32" s="391"/>
      <c r="I32" s="391"/>
      <c r="J32" s="198"/>
      <c r="K32" s="392"/>
      <c r="L32" s="393"/>
      <c r="M32" s="392"/>
      <c r="N32" s="89"/>
      <c r="O32" s="89"/>
      <c r="P32" s="89"/>
      <c r="Q32" s="89"/>
    </row>
  </sheetData>
  <mergeCells count="13">
    <mergeCell ref="K2:M2"/>
    <mergeCell ref="J1:J2"/>
    <mergeCell ref="A1:A2"/>
    <mergeCell ref="B1:B2"/>
    <mergeCell ref="C1:C2"/>
    <mergeCell ref="D1:D2"/>
    <mergeCell ref="E1:E2"/>
    <mergeCell ref="F2:H2"/>
    <mergeCell ref="A3:A5"/>
    <mergeCell ref="A7:A12"/>
    <mergeCell ref="A14:A16"/>
    <mergeCell ref="A18:A19"/>
    <mergeCell ref="A20:A23"/>
  </mergeCells>
  <conditionalFormatting sqref="M3:M23">
    <cfRule type="cellIs" dxfId="576" priority="1" operator="greaterThan">
      <formula>50%</formula>
    </cfRule>
    <cfRule type="cellIs" dxfId="575" priority="2" operator="between">
      <formula>37.1%</formula>
      <formula>50%</formula>
    </cfRule>
    <cfRule type="cellIs" dxfId="574" priority="3" operator="between">
      <formula>16%</formula>
      <formula>37%</formula>
    </cfRule>
    <cfRule type="cellIs" dxfId="573" priority="4" operator="lessThan">
      <formula>16%</formula>
    </cfRule>
  </conditionalFormatting>
  <conditionalFormatting sqref="K3:K23">
    <cfRule type="cellIs" dxfId="572" priority="9" operator="greaterThan">
      <formula>50%</formula>
    </cfRule>
    <cfRule type="cellIs" dxfId="571" priority="10" operator="between">
      <formula>37.1%</formula>
      <formula>50%</formula>
    </cfRule>
    <cfRule type="cellIs" dxfId="570" priority="11" operator="between">
      <formula>16%</formula>
      <formula>37%</formula>
    </cfRule>
    <cfRule type="cellIs" dxfId="569" priority="12" operator="lessThan">
      <formula>16%</formula>
    </cfRule>
  </conditionalFormatting>
  <conditionalFormatting sqref="L3:L23">
    <cfRule type="cellIs" dxfId="568" priority="5" operator="greaterThan">
      <formula>50%</formula>
    </cfRule>
    <cfRule type="cellIs" dxfId="567" priority="6" operator="between">
      <formula>37.1%</formula>
      <formula>50%</formula>
    </cfRule>
    <cfRule type="cellIs" dxfId="566" priority="7" operator="between">
      <formula>16%</formula>
      <formula>37%</formula>
    </cfRule>
    <cfRule type="cellIs" dxfId="565" priority="8" operator="lessThan">
      <formula>16%</formula>
    </cfRule>
  </conditionalFormatting>
  <hyperlinks>
    <hyperlink ref="N13" r:id="rId1"/>
  </hyperlinks>
  <printOptions horizontalCentered="1" verticalCentered="1"/>
  <pageMargins left="0.35433070866141736" right="0.27559055118110237" top="0.9055118110236221" bottom="0.47244094488188981" header="0.59055118110236227" footer="0.27559055118110237"/>
  <pageSetup scale="60" orientation="landscape" r:id="rId2"/>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35"/>
  <sheetViews>
    <sheetView showGridLines="0" zoomScale="90" zoomScaleNormal="90" zoomScalePageLayoutView="50" workbookViewId="0">
      <pane xSplit="3" ySplit="4" topLeftCell="G5" activePane="bottomRight" state="frozen"/>
      <selection sqref="A1:A3"/>
      <selection pane="topRight" sqref="A1:A3"/>
      <selection pane="bottomLeft" sqref="A1:A3"/>
      <selection pane="bottomRight" activeCell="I6" sqref="I6"/>
    </sheetView>
  </sheetViews>
  <sheetFormatPr baseColWidth="10" defaultRowHeight="15" x14ac:dyDescent="0.25"/>
  <cols>
    <col min="1" max="1" width="11" customWidth="1"/>
    <col min="2" max="2" width="18.7109375" customWidth="1"/>
    <col min="3" max="3" width="50.85546875" customWidth="1"/>
    <col min="4" max="4" width="18.5703125" customWidth="1"/>
    <col min="5" max="5" width="13.85546875" customWidth="1"/>
    <col min="6" max="6" width="20.42578125" customWidth="1"/>
    <col min="7" max="7" width="18.7109375" customWidth="1"/>
    <col min="8" max="8" width="15.5703125" customWidth="1"/>
    <col min="9" max="9" width="60.42578125" customWidth="1"/>
    <col min="10" max="10" width="16.28515625" customWidth="1"/>
    <col min="11" max="11" width="14.28515625" customWidth="1"/>
    <col min="12" max="13" width="11.42578125" customWidth="1"/>
  </cols>
  <sheetData>
    <row r="1" spans="1:13" ht="31.5" x14ac:dyDescent="0.25">
      <c r="A1" s="469" t="s">
        <v>10</v>
      </c>
      <c r="B1" s="471" t="s">
        <v>11</v>
      </c>
      <c r="C1" s="471" t="s">
        <v>12</v>
      </c>
      <c r="D1" s="467" t="s">
        <v>15</v>
      </c>
      <c r="E1" s="473" t="s">
        <v>16</v>
      </c>
      <c r="F1" s="350" t="s">
        <v>0</v>
      </c>
      <c r="G1" s="350" t="s">
        <v>1</v>
      </c>
      <c r="H1" s="350" t="s">
        <v>2</v>
      </c>
      <c r="I1" s="481" t="s">
        <v>828</v>
      </c>
      <c r="J1" s="467" t="s">
        <v>829</v>
      </c>
      <c r="K1" s="351" t="s">
        <v>5</v>
      </c>
      <c r="L1" s="352" t="s">
        <v>6</v>
      </c>
      <c r="M1" s="353" t="s">
        <v>7</v>
      </c>
    </row>
    <row r="2" spans="1:13" ht="15" customHeight="1" thickBot="1" x14ac:dyDescent="0.3">
      <c r="A2" s="470"/>
      <c r="B2" s="472"/>
      <c r="C2" s="472"/>
      <c r="D2" s="468"/>
      <c r="E2" s="474"/>
      <c r="F2" s="475" t="s">
        <v>17</v>
      </c>
      <c r="G2" s="475"/>
      <c r="H2" s="475"/>
      <c r="I2" s="482"/>
      <c r="J2" s="468"/>
      <c r="K2" s="476" t="s">
        <v>20</v>
      </c>
      <c r="L2" s="476"/>
      <c r="M2" s="477"/>
    </row>
    <row r="3" spans="1:13" ht="28.5" customHeight="1" x14ac:dyDescent="0.25">
      <c r="A3" s="480" t="s">
        <v>86</v>
      </c>
      <c r="B3" s="354" t="s">
        <v>87</v>
      </c>
      <c r="C3" s="354" t="s">
        <v>88</v>
      </c>
      <c r="D3" s="355">
        <v>4</v>
      </c>
      <c r="E3" s="356" t="s">
        <v>89</v>
      </c>
      <c r="F3" s="357">
        <v>150000000</v>
      </c>
      <c r="G3" s="358">
        <v>147334235</v>
      </c>
      <c r="H3" s="358">
        <f>+F3-G3</f>
        <v>2665765</v>
      </c>
      <c r="I3" s="359" t="s">
        <v>830</v>
      </c>
      <c r="J3" s="355">
        <v>8</v>
      </c>
      <c r="K3" s="310">
        <f>+G3/F3</f>
        <v>0.98222823333333331</v>
      </c>
      <c r="L3" s="310">
        <f>+J3/D3</f>
        <v>2</v>
      </c>
      <c r="M3" s="317">
        <f t="shared" ref="M3:M34" si="0">(K3+L3)/2</f>
        <v>1.4911141166666666</v>
      </c>
    </row>
    <row r="4" spans="1:13" ht="23.25" customHeight="1" x14ac:dyDescent="0.25">
      <c r="A4" s="478"/>
      <c r="B4" s="19" t="s">
        <v>90</v>
      </c>
      <c r="C4" s="19" t="s">
        <v>91</v>
      </c>
      <c r="D4" s="360">
        <v>4</v>
      </c>
      <c r="E4" s="361" t="s">
        <v>92</v>
      </c>
      <c r="F4" s="362">
        <v>367433234</v>
      </c>
      <c r="G4" s="362">
        <v>364555846</v>
      </c>
      <c r="H4" s="362">
        <f t="shared" ref="H4:H34" si="1">+F4-G4</f>
        <v>2877388</v>
      </c>
      <c r="I4" s="359" t="s">
        <v>831</v>
      </c>
      <c r="J4" s="360">
        <v>7</v>
      </c>
      <c r="K4" s="309">
        <f t="shared" ref="K4:K34" si="2">+G4/F4</f>
        <v>0.99216895007379757</v>
      </c>
      <c r="L4" s="309">
        <f t="shared" ref="L4:L34" si="3">+J4/D4</f>
        <v>1.75</v>
      </c>
      <c r="M4" s="316">
        <f t="shared" si="0"/>
        <v>1.3710844750368989</v>
      </c>
    </row>
    <row r="5" spans="1:13" ht="64.5" customHeight="1" x14ac:dyDescent="0.25">
      <c r="A5" s="478"/>
      <c r="B5" s="19" t="s">
        <v>93</v>
      </c>
      <c r="C5" s="19" t="s">
        <v>94</v>
      </c>
      <c r="D5" s="360">
        <v>4</v>
      </c>
      <c r="E5" s="361" t="s">
        <v>95</v>
      </c>
      <c r="F5" s="362">
        <v>1991063815</v>
      </c>
      <c r="G5" s="362">
        <v>1960315216</v>
      </c>
      <c r="H5" s="362">
        <f t="shared" si="1"/>
        <v>30748599</v>
      </c>
      <c r="I5" s="359" t="s">
        <v>832</v>
      </c>
      <c r="J5" s="360">
        <v>30</v>
      </c>
      <c r="K5" s="309">
        <f t="shared" si="2"/>
        <v>0.98455669839994553</v>
      </c>
      <c r="L5" s="309">
        <f t="shared" si="3"/>
        <v>7.5</v>
      </c>
      <c r="M5" s="316">
        <f t="shared" si="0"/>
        <v>4.2422783491999727</v>
      </c>
    </row>
    <row r="6" spans="1:13" ht="45.75" customHeight="1" x14ac:dyDescent="0.25">
      <c r="A6" s="478"/>
      <c r="B6" s="19" t="s">
        <v>96</v>
      </c>
      <c r="C6" s="19" t="s">
        <v>97</v>
      </c>
      <c r="D6" s="360">
        <v>1</v>
      </c>
      <c r="E6" s="361" t="s">
        <v>98</v>
      </c>
      <c r="F6" s="362">
        <v>15000000</v>
      </c>
      <c r="G6" s="362">
        <v>15000000</v>
      </c>
      <c r="H6" s="362">
        <f t="shared" si="1"/>
        <v>0</v>
      </c>
      <c r="I6" s="359" t="s">
        <v>833</v>
      </c>
      <c r="J6" s="360">
        <v>1</v>
      </c>
      <c r="K6" s="309">
        <f t="shared" si="2"/>
        <v>1</v>
      </c>
      <c r="L6" s="309">
        <f t="shared" si="3"/>
        <v>1</v>
      </c>
      <c r="M6" s="316">
        <f t="shared" si="0"/>
        <v>1</v>
      </c>
    </row>
    <row r="7" spans="1:13" ht="409.5" x14ac:dyDescent="0.25">
      <c r="A7" s="478"/>
      <c r="B7" s="19" t="s">
        <v>99</v>
      </c>
      <c r="C7" s="19" t="s">
        <v>100</v>
      </c>
      <c r="D7" s="360">
        <v>20</v>
      </c>
      <c r="E7" s="361" t="s">
        <v>101</v>
      </c>
      <c r="F7" s="362">
        <v>440305826</v>
      </c>
      <c r="G7" s="362">
        <v>406099612</v>
      </c>
      <c r="H7" s="362">
        <f t="shared" si="1"/>
        <v>34206214</v>
      </c>
      <c r="I7" s="359" t="s">
        <v>834</v>
      </c>
      <c r="J7" s="360">
        <v>28</v>
      </c>
      <c r="K7" s="309">
        <f t="shared" si="2"/>
        <v>0.92231260187776842</v>
      </c>
      <c r="L7" s="309">
        <f t="shared" si="3"/>
        <v>1.4</v>
      </c>
      <c r="M7" s="316">
        <f t="shared" si="0"/>
        <v>1.1611563009388841</v>
      </c>
    </row>
    <row r="8" spans="1:13" ht="30.75" customHeight="1" x14ac:dyDescent="0.25">
      <c r="A8" s="478" t="s">
        <v>102</v>
      </c>
      <c r="B8" s="19" t="s">
        <v>103</v>
      </c>
      <c r="C8" s="19" t="s">
        <v>104</v>
      </c>
      <c r="D8" s="360">
        <v>2</v>
      </c>
      <c r="E8" s="361" t="s">
        <v>105</v>
      </c>
      <c r="F8" s="362">
        <v>5000000</v>
      </c>
      <c r="G8" s="362">
        <v>4517568</v>
      </c>
      <c r="H8" s="362">
        <f t="shared" si="1"/>
        <v>482432</v>
      </c>
      <c r="I8" s="359" t="s">
        <v>835</v>
      </c>
      <c r="J8" s="360">
        <v>3</v>
      </c>
      <c r="K8" s="309">
        <f t="shared" si="2"/>
        <v>0.90351360000000003</v>
      </c>
      <c r="L8" s="309">
        <f t="shared" si="3"/>
        <v>1.5</v>
      </c>
      <c r="M8" s="316">
        <f t="shared" si="0"/>
        <v>1.2017568000000001</v>
      </c>
    </row>
    <row r="9" spans="1:13" ht="87.75" customHeight="1" x14ac:dyDescent="0.25">
      <c r="A9" s="478"/>
      <c r="B9" s="19" t="s">
        <v>106</v>
      </c>
      <c r="C9" s="19" t="s">
        <v>107</v>
      </c>
      <c r="D9" s="360">
        <v>1</v>
      </c>
      <c r="E9" s="361" t="s">
        <v>108</v>
      </c>
      <c r="F9" s="362">
        <v>5000000</v>
      </c>
      <c r="G9" s="362">
        <v>5000000</v>
      </c>
      <c r="H9" s="362">
        <f t="shared" si="1"/>
        <v>0</v>
      </c>
      <c r="I9" s="359" t="s">
        <v>836</v>
      </c>
      <c r="J9" s="360">
        <v>1</v>
      </c>
      <c r="K9" s="309">
        <f t="shared" si="2"/>
        <v>1</v>
      </c>
      <c r="L9" s="309">
        <f t="shared" si="3"/>
        <v>1</v>
      </c>
      <c r="M9" s="316">
        <f t="shared" si="0"/>
        <v>1</v>
      </c>
    </row>
    <row r="10" spans="1:13" ht="36" customHeight="1" x14ac:dyDescent="0.25">
      <c r="A10" s="478"/>
      <c r="B10" s="19" t="s">
        <v>109</v>
      </c>
      <c r="C10" s="19" t="s">
        <v>110</v>
      </c>
      <c r="D10" s="360">
        <v>4</v>
      </c>
      <c r="E10" s="361" t="s">
        <v>105</v>
      </c>
      <c r="F10" s="362">
        <v>0</v>
      </c>
      <c r="G10" s="362">
        <v>0</v>
      </c>
      <c r="H10" s="362">
        <f t="shared" si="1"/>
        <v>0</v>
      </c>
      <c r="I10" s="359" t="s">
        <v>837</v>
      </c>
      <c r="J10" s="360">
        <v>4</v>
      </c>
      <c r="K10" s="309">
        <v>0</v>
      </c>
      <c r="L10" s="309">
        <f t="shared" si="3"/>
        <v>1</v>
      </c>
      <c r="M10" s="316">
        <f t="shared" si="0"/>
        <v>0.5</v>
      </c>
    </row>
    <row r="11" spans="1:13" ht="33" customHeight="1" x14ac:dyDescent="0.25">
      <c r="A11" s="478"/>
      <c r="B11" s="19" t="s">
        <v>111</v>
      </c>
      <c r="C11" s="19" t="s">
        <v>112</v>
      </c>
      <c r="D11" s="360">
        <v>3</v>
      </c>
      <c r="E11" s="361" t="s">
        <v>113</v>
      </c>
      <c r="F11" s="362">
        <v>18000000</v>
      </c>
      <c r="G11" s="362">
        <v>17999994</v>
      </c>
      <c r="H11" s="362">
        <f t="shared" si="1"/>
        <v>6</v>
      </c>
      <c r="I11" s="359" t="s">
        <v>838</v>
      </c>
      <c r="J11" s="360">
        <v>39</v>
      </c>
      <c r="K11" s="309">
        <f t="shared" si="2"/>
        <v>0.99999966666666662</v>
      </c>
      <c r="L11" s="309">
        <f t="shared" si="3"/>
        <v>13</v>
      </c>
      <c r="M11" s="316">
        <f t="shared" si="0"/>
        <v>6.9999998333333338</v>
      </c>
    </row>
    <row r="12" spans="1:13" ht="31.5" customHeight="1" x14ac:dyDescent="0.25">
      <c r="A12" s="478"/>
      <c r="B12" s="19" t="s">
        <v>114</v>
      </c>
      <c r="C12" s="19" t="s">
        <v>115</v>
      </c>
      <c r="D12" s="360">
        <v>3</v>
      </c>
      <c r="E12" s="361" t="s">
        <v>116</v>
      </c>
      <c r="F12" s="362">
        <v>50000000</v>
      </c>
      <c r="G12" s="362">
        <v>48697005</v>
      </c>
      <c r="H12" s="362">
        <f t="shared" si="1"/>
        <v>1302995</v>
      </c>
      <c r="I12" s="359" t="s">
        <v>839</v>
      </c>
      <c r="J12" s="360">
        <v>7</v>
      </c>
      <c r="K12" s="309">
        <f t="shared" si="2"/>
        <v>0.97394009999999998</v>
      </c>
      <c r="L12" s="309">
        <f t="shared" si="3"/>
        <v>2.3333333333333335</v>
      </c>
      <c r="M12" s="316">
        <f t="shared" si="0"/>
        <v>1.6536367166666668</v>
      </c>
    </row>
    <row r="13" spans="1:13" ht="76.5" customHeight="1" x14ac:dyDescent="0.25">
      <c r="A13" s="478"/>
      <c r="B13" s="19" t="s">
        <v>117</v>
      </c>
      <c r="C13" s="19" t="s">
        <v>118</v>
      </c>
      <c r="D13" s="360">
        <v>16</v>
      </c>
      <c r="E13" s="361" t="s">
        <v>119</v>
      </c>
      <c r="F13" s="362">
        <v>55573708</v>
      </c>
      <c r="G13" s="362">
        <v>53258781</v>
      </c>
      <c r="H13" s="362">
        <f t="shared" si="1"/>
        <v>2314927</v>
      </c>
      <c r="I13" s="359" t="s">
        <v>840</v>
      </c>
      <c r="J13" s="360">
        <v>28</v>
      </c>
      <c r="K13" s="309">
        <f t="shared" si="2"/>
        <v>0.9583449245459742</v>
      </c>
      <c r="L13" s="309">
        <f t="shared" si="3"/>
        <v>1.75</v>
      </c>
      <c r="M13" s="316">
        <f t="shared" si="0"/>
        <v>1.3541724622729872</v>
      </c>
    </row>
    <row r="14" spans="1:13" ht="77.25" customHeight="1" x14ac:dyDescent="0.25">
      <c r="A14" s="478"/>
      <c r="B14" s="19" t="s">
        <v>120</v>
      </c>
      <c r="C14" s="19" t="s">
        <v>121</v>
      </c>
      <c r="D14" s="360">
        <v>35</v>
      </c>
      <c r="E14" s="361" t="s">
        <v>122</v>
      </c>
      <c r="F14" s="362">
        <v>90000000</v>
      </c>
      <c r="G14" s="362">
        <v>87839541</v>
      </c>
      <c r="H14" s="362">
        <f t="shared" si="1"/>
        <v>2160459</v>
      </c>
      <c r="I14" s="359" t="s">
        <v>841</v>
      </c>
      <c r="J14" s="360">
        <v>35</v>
      </c>
      <c r="K14" s="309">
        <f t="shared" si="2"/>
        <v>0.9759949</v>
      </c>
      <c r="L14" s="309">
        <f t="shared" si="3"/>
        <v>1</v>
      </c>
      <c r="M14" s="316">
        <f t="shared" si="0"/>
        <v>0.98799744999999994</v>
      </c>
    </row>
    <row r="15" spans="1:13" ht="66" customHeight="1" x14ac:dyDescent="0.25">
      <c r="A15" s="478"/>
      <c r="B15" s="19" t="s">
        <v>123</v>
      </c>
      <c r="C15" s="19" t="s">
        <v>124</v>
      </c>
      <c r="D15" s="360">
        <v>1</v>
      </c>
      <c r="E15" s="361" t="s">
        <v>842</v>
      </c>
      <c r="F15" s="362">
        <v>8000000</v>
      </c>
      <c r="G15" s="362">
        <v>5987953</v>
      </c>
      <c r="H15" s="362">
        <f t="shared" si="1"/>
        <v>2012047</v>
      </c>
      <c r="I15" s="359" t="s">
        <v>843</v>
      </c>
      <c r="J15" s="360">
        <v>6</v>
      </c>
      <c r="K15" s="309">
        <f t="shared" si="2"/>
        <v>0.74849412500000001</v>
      </c>
      <c r="L15" s="309">
        <f t="shared" si="3"/>
        <v>6</v>
      </c>
      <c r="M15" s="316">
        <f t="shared" si="0"/>
        <v>3.3742470624999998</v>
      </c>
    </row>
    <row r="16" spans="1:13" ht="55.5" customHeight="1" x14ac:dyDescent="0.25">
      <c r="A16" s="478"/>
      <c r="B16" s="19" t="s">
        <v>125</v>
      </c>
      <c r="C16" s="19" t="s">
        <v>126</v>
      </c>
      <c r="D16" s="360">
        <v>3</v>
      </c>
      <c r="E16" s="361" t="s">
        <v>127</v>
      </c>
      <c r="F16" s="362">
        <v>434913851</v>
      </c>
      <c r="G16" s="362">
        <v>377910954</v>
      </c>
      <c r="H16" s="362">
        <f t="shared" si="1"/>
        <v>57002897</v>
      </c>
      <c r="I16" s="359" t="s">
        <v>844</v>
      </c>
      <c r="J16" s="360">
        <v>3</v>
      </c>
      <c r="K16" s="309">
        <f t="shared" si="2"/>
        <v>0.86893290046078575</v>
      </c>
      <c r="L16" s="309">
        <f t="shared" si="3"/>
        <v>1</v>
      </c>
      <c r="M16" s="316">
        <f t="shared" si="0"/>
        <v>0.93446645023039288</v>
      </c>
    </row>
    <row r="17" spans="1:13" ht="409.5" x14ac:dyDescent="0.25">
      <c r="A17" s="478" t="s">
        <v>128</v>
      </c>
      <c r="B17" s="19" t="s">
        <v>129</v>
      </c>
      <c r="C17" s="19" t="s">
        <v>130</v>
      </c>
      <c r="D17" s="360">
        <v>30</v>
      </c>
      <c r="E17" s="361" t="s">
        <v>113</v>
      </c>
      <c r="F17" s="362">
        <v>52000000</v>
      </c>
      <c r="G17" s="362">
        <v>50711427</v>
      </c>
      <c r="H17" s="362">
        <f t="shared" si="1"/>
        <v>1288573</v>
      </c>
      <c r="I17" s="359" t="s">
        <v>845</v>
      </c>
      <c r="J17" s="26">
        <v>21</v>
      </c>
      <c r="K17" s="309">
        <f t="shared" si="2"/>
        <v>0.97521975000000005</v>
      </c>
      <c r="L17" s="309">
        <f t="shared" si="3"/>
        <v>0.7</v>
      </c>
      <c r="M17" s="316">
        <f t="shared" si="0"/>
        <v>0.83760987500000006</v>
      </c>
    </row>
    <row r="18" spans="1:13" ht="409.5" x14ac:dyDescent="0.25">
      <c r="A18" s="478"/>
      <c r="B18" s="19" t="s">
        <v>131</v>
      </c>
      <c r="C18" s="19" t="s">
        <v>132</v>
      </c>
      <c r="D18" s="360">
        <v>30</v>
      </c>
      <c r="E18" s="361" t="s">
        <v>113</v>
      </c>
      <c r="F18" s="362">
        <v>89000000</v>
      </c>
      <c r="G18" s="362">
        <v>83749749</v>
      </c>
      <c r="H18" s="362">
        <f t="shared" si="1"/>
        <v>5250251</v>
      </c>
      <c r="I18" s="359" t="s">
        <v>846</v>
      </c>
      <c r="J18" s="26">
        <v>42</v>
      </c>
      <c r="K18" s="309">
        <f t="shared" si="2"/>
        <v>0.94100841573033711</v>
      </c>
      <c r="L18" s="309">
        <f t="shared" si="3"/>
        <v>1.4</v>
      </c>
      <c r="M18" s="316">
        <f t="shared" si="0"/>
        <v>1.1705042078651684</v>
      </c>
    </row>
    <row r="19" spans="1:13" ht="30" customHeight="1" x14ac:dyDescent="0.25">
      <c r="A19" s="478"/>
      <c r="B19" s="19" t="s">
        <v>133</v>
      </c>
      <c r="C19" s="19" t="s">
        <v>134</v>
      </c>
      <c r="D19" s="360">
        <v>8</v>
      </c>
      <c r="E19" s="361" t="s">
        <v>62</v>
      </c>
      <c r="F19" s="362">
        <v>80000000</v>
      </c>
      <c r="G19" s="362">
        <v>61503458</v>
      </c>
      <c r="H19" s="362">
        <f t="shared" si="1"/>
        <v>18496542</v>
      </c>
      <c r="I19" s="359" t="s">
        <v>847</v>
      </c>
      <c r="J19" s="360">
        <v>14</v>
      </c>
      <c r="K19" s="309">
        <f t="shared" si="2"/>
        <v>0.76879322500000002</v>
      </c>
      <c r="L19" s="309">
        <f t="shared" si="3"/>
        <v>1.75</v>
      </c>
      <c r="M19" s="316">
        <f t="shared" si="0"/>
        <v>1.2593966125</v>
      </c>
    </row>
    <row r="20" spans="1:13" ht="31.5" customHeight="1" x14ac:dyDescent="0.25">
      <c r="A20" s="478"/>
      <c r="B20" s="19" t="s">
        <v>367</v>
      </c>
      <c r="C20" s="19" t="s">
        <v>368</v>
      </c>
      <c r="D20" s="360">
        <v>2</v>
      </c>
      <c r="E20" s="361" t="s">
        <v>105</v>
      </c>
      <c r="F20" s="362">
        <v>3000000</v>
      </c>
      <c r="G20" s="362">
        <v>1000000</v>
      </c>
      <c r="H20" s="362">
        <f t="shared" si="1"/>
        <v>2000000</v>
      </c>
      <c r="I20" s="359" t="s">
        <v>848</v>
      </c>
      <c r="J20" s="360">
        <v>11</v>
      </c>
      <c r="K20" s="309">
        <f t="shared" si="2"/>
        <v>0.33333333333333331</v>
      </c>
      <c r="L20" s="309">
        <f t="shared" si="3"/>
        <v>5.5</v>
      </c>
      <c r="M20" s="316">
        <f t="shared" si="0"/>
        <v>2.9166666666666665</v>
      </c>
    </row>
    <row r="21" spans="1:13" ht="409.5" x14ac:dyDescent="0.25">
      <c r="A21" s="478" t="s">
        <v>135</v>
      </c>
      <c r="B21" s="19" t="s">
        <v>136</v>
      </c>
      <c r="C21" s="19" t="s">
        <v>137</v>
      </c>
      <c r="D21" s="360">
        <v>20</v>
      </c>
      <c r="E21" s="361" t="s">
        <v>113</v>
      </c>
      <c r="F21" s="362">
        <v>80000000</v>
      </c>
      <c r="G21" s="362">
        <v>79966666</v>
      </c>
      <c r="H21" s="362">
        <f t="shared" si="1"/>
        <v>33334</v>
      </c>
      <c r="I21" s="359" t="s">
        <v>834</v>
      </c>
      <c r="J21" s="360">
        <v>28</v>
      </c>
      <c r="K21" s="309">
        <f t="shared" si="2"/>
        <v>0.99958332500000002</v>
      </c>
      <c r="L21" s="309">
        <f t="shared" si="3"/>
        <v>1.4</v>
      </c>
      <c r="M21" s="316">
        <f t="shared" si="0"/>
        <v>1.1997916625</v>
      </c>
    </row>
    <row r="22" spans="1:13" ht="409.5" x14ac:dyDescent="0.25">
      <c r="A22" s="478"/>
      <c r="B22" s="19" t="s">
        <v>138</v>
      </c>
      <c r="C22" s="19" t="s">
        <v>139</v>
      </c>
      <c r="D22" s="360">
        <v>5</v>
      </c>
      <c r="E22" s="361" t="s">
        <v>122</v>
      </c>
      <c r="F22" s="362">
        <v>39000000</v>
      </c>
      <c r="G22" s="362">
        <v>37732628</v>
      </c>
      <c r="H22" s="362">
        <f t="shared" si="1"/>
        <v>1267372</v>
      </c>
      <c r="I22" s="359" t="s">
        <v>849</v>
      </c>
      <c r="J22" s="360">
        <v>35</v>
      </c>
      <c r="K22" s="309">
        <f t="shared" si="2"/>
        <v>0.967503282051282</v>
      </c>
      <c r="L22" s="309">
        <f t="shared" si="3"/>
        <v>7</v>
      </c>
      <c r="M22" s="316">
        <f t="shared" si="0"/>
        <v>3.9837516410256408</v>
      </c>
    </row>
    <row r="23" spans="1:13" ht="92.25" customHeight="1" x14ac:dyDescent="0.25">
      <c r="A23" s="478" t="s">
        <v>140</v>
      </c>
      <c r="B23" s="19" t="s">
        <v>141</v>
      </c>
      <c r="C23" s="19" t="s">
        <v>142</v>
      </c>
      <c r="D23" s="360">
        <v>9</v>
      </c>
      <c r="E23" s="361" t="s">
        <v>143</v>
      </c>
      <c r="F23" s="362">
        <v>3057557814</v>
      </c>
      <c r="G23" s="362">
        <v>2601917033</v>
      </c>
      <c r="H23" s="362">
        <f t="shared" si="1"/>
        <v>455640781</v>
      </c>
      <c r="I23" s="359" t="s">
        <v>850</v>
      </c>
      <c r="J23" s="26">
        <v>17</v>
      </c>
      <c r="K23" s="309">
        <f t="shared" si="2"/>
        <v>0.85097885020727848</v>
      </c>
      <c r="L23" s="309">
        <f t="shared" si="3"/>
        <v>1.8888888888888888</v>
      </c>
      <c r="M23" s="316">
        <f t="shared" si="0"/>
        <v>1.3699338695480836</v>
      </c>
    </row>
    <row r="24" spans="1:13" ht="57" customHeight="1" x14ac:dyDescent="0.25">
      <c r="A24" s="478"/>
      <c r="B24" s="19" t="s">
        <v>144</v>
      </c>
      <c r="C24" s="19" t="s">
        <v>145</v>
      </c>
      <c r="D24" s="360">
        <v>1</v>
      </c>
      <c r="E24" s="361" t="s">
        <v>146</v>
      </c>
      <c r="F24" s="362">
        <v>252000000</v>
      </c>
      <c r="G24" s="362">
        <v>187122952</v>
      </c>
      <c r="H24" s="362">
        <f t="shared" si="1"/>
        <v>64877048</v>
      </c>
      <c r="I24" s="359" t="s">
        <v>851</v>
      </c>
      <c r="J24" s="360">
        <v>3</v>
      </c>
      <c r="K24" s="309">
        <f t="shared" si="2"/>
        <v>0.74255139682539684</v>
      </c>
      <c r="L24" s="309">
        <f t="shared" si="3"/>
        <v>3</v>
      </c>
      <c r="M24" s="316">
        <f t="shared" si="0"/>
        <v>1.8712756984126984</v>
      </c>
    </row>
    <row r="25" spans="1:13" ht="15" customHeight="1" x14ac:dyDescent="0.25">
      <c r="A25" s="363" t="s">
        <v>149</v>
      </c>
      <c r="B25" s="19" t="s">
        <v>150</v>
      </c>
      <c r="C25" s="19" t="s">
        <v>151</v>
      </c>
      <c r="D25" s="360">
        <v>1</v>
      </c>
      <c r="E25" s="361" t="s">
        <v>852</v>
      </c>
      <c r="F25" s="362">
        <v>1000000</v>
      </c>
      <c r="G25" s="362">
        <v>1000000</v>
      </c>
      <c r="H25" s="362">
        <f t="shared" si="1"/>
        <v>0</v>
      </c>
      <c r="I25" s="359" t="s">
        <v>853</v>
      </c>
      <c r="J25" s="360">
        <v>3</v>
      </c>
      <c r="K25" s="309">
        <f t="shared" si="2"/>
        <v>1</v>
      </c>
      <c r="L25" s="309">
        <f t="shared" si="3"/>
        <v>3</v>
      </c>
      <c r="M25" s="316">
        <f t="shared" si="0"/>
        <v>2</v>
      </c>
    </row>
    <row r="26" spans="1:13" ht="41.25" customHeight="1" x14ac:dyDescent="0.25">
      <c r="A26" s="363" t="s">
        <v>158</v>
      </c>
      <c r="B26" s="19" t="s">
        <v>159</v>
      </c>
      <c r="C26" s="19" t="s">
        <v>160</v>
      </c>
      <c r="D26" s="360">
        <v>1</v>
      </c>
      <c r="E26" s="361" t="s">
        <v>854</v>
      </c>
      <c r="F26" s="362">
        <v>1000000</v>
      </c>
      <c r="G26" s="362">
        <v>1000000</v>
      </c>
      <c r="H26" s="362">
        <f t="shared" si="1"/>
        <v>0</v>
      </c>
      <c r="I26" s="359" t="s">
        <v>855</v>
      </c>
      <c r="J26" s="360">
        <v>1</v>
      </c>
      <c r="K26" s="309">
        <f t="shared" si="2"/>
        <v>1</v>
      </c>
      <c r="L26" s="309">
        <f t="shared" si="3"/>
        <v>1</v>
      </c>
      <c r="M26" s="316">
        <f t="shared" si="0"/>
        <v>1</v>
      </c>
    </row>
    <row r="27" spans="1:13" ht="24" customHeight="1" x14ac:dyDescent="0.25">
      <c r="A27" s="478" t="s">
        <v>163</v>
      </c>
      <c r="B27" s="19" t="s">
        <v>164</v>
      </c>
      <c r="C27" s="19" t="s">
        <v>165</v>
      </c>
      <c r="D27" s="360">
        <v>1</v>
      </c>
      <c r="E27" s="361" t="s">
        <v>166</v>
      </c>
      <c r="F27" s="362">
        <v>80000000</v>
      </c>
      <c r="G27" s="362">
        <v>74047787</v>
      </c>
      <c r="H27" s="362">
        <f t="shared" si="1"/>
        <v>5952213</v>
      </c>
      <c r="I27" s="359" t="s">
        <v>856</v>
      </c>
      <c r="J27" s="360">
        <v>6</v>
      </c>
      <c r="K27" s="309">
        <f t="shared" si="2"/>
        <v>0.92559733749999995</v>
      </c>
      <c r="L27" s="309">
        <f t="shared" si="3"/>
        <v>6</v>
      </c>
      <c r="M27" s="316">
        <f t="shared" si="0"/>
        <v>3.4627986687500001</v>
      </c>
    </row>
    <row r="28" spans="1:13" ht="105" x14ac:dyDescent="0.25">
      <c r="A28" s="478"/>
      <c r="B28" s="19" t="s">
        <v>167</v>
      </c>
      <c r="C28" s="19" t="s">
        <v>168</v>
      </c>
      <c r="D28" s="360">
        <v>1</v>
      </c>
      <c r="E28" s="361" t="s">
        <v>857</v>
      </c>
      <c r="F28" s="362">
        <v>50000000</v>
      </c>
      <c r="G28" s="362">
        <v>41108562</v>
      </c>
      <c r="H28" s="362">
        <f t="shared" si="1"/>
        <v>8891438</v>
      </c>
      <c r="I28" s="359" t="s">
        <v>858</v>
      </c>
      <c r="J28" s="360">
        <v>1</v>
      </c>
      <c r="K28" s="309">
        <f t="shared" si="2"/>
        <v>0.82217123999999997</v>
      </c>
      <c r="L28" s="309">
        <f t="shared" si="3"/>
        <v>1</v>
      </c>
      <c r="M28" s="316">
        <f t="shared" si="0"/>
        <v>0.91108561999999993</v>
      </c>
    </row>
    <row r="29" spans="1:13" ht="195" x14ac:dyDescent="0.25">
      <c r="A29" s="478" t="s">
        <v>170</v>
      </c>
      <c r="B29" s="19" t="s">
        <v>171</v>
      </c>
      <c r="C29" s="19" t="s">
        <v>172</v>
      </c>
      <c r="D29" s="360">
        <v>4</v>
      </c>
      <c r="E29" s="361" t="s">
        <v>859</v>
      </c>
      <c r="F29" s="362">
        <v>38100000</v>
      </c>
      <c r="G29" s="362">
        <v>19500000</v>
      </c>
      <c r="H29" s="362">
        <f t="shared" si="1"/>
        <v>18600000</v>
      </c>
      <c r="I29" s="359" t="s">
        <v>860</v>
      </c>
      <c r="J29" s="360">
        <v>9</v>
      </c>
      <c r="K29" s="309">
        <f t="shared" si="2"/>
        <v>0.51181102362204722</v>
      </c>
      <c r="L29" s="309">
        <f t="shared" si="3"/>
        <v>2.25</v>
      </c>
      <c r="M29" s="316">
        <f t="shared" si="0"/>
        <v>1.3809055118110236</v>
      </c>
    </row>
    <row r="30" spans="1:13" ht="45" customHeight="1" x14ac:dyDescent="0.25">
      <c r="A30" s="478"/>
      <c r="B30" s="19" t="s">
        <v>173</v>
      </c>
      <c r="C30" s="19" t="s">
        <v>174</v>
      </c>
      <c r="D30" s="360">
        <v>1</v>
      </c>
      <c r="E30" s="361" t="s">
        <v>175</v>
      </c>
      <c r="F30" s="362">
        <v>10000000</v>
      </c>
      <c r="G30" s="362">
        <v>8093873</v>
      </c>
      <c r="H30" s="362">
        <f t="shared" si="1"/>
        <v>1906127</v>
      </c>
      <c r="I30" s="359" t="s">
        <v>861</v>
      </c>
      <c r="J30" s="360">
        <v>12</v>
      </c>
      <c r="K30" s="309">
        <f t="shared" si="2"/>
        <v>0.80938730000000003</v>
      </c>
      <c r="L30" s="309">
        <f t="shared" si="3"/>
        <v>12</v>
      </c>
      <c r="M30" s="316">
        <f t="shared" si="0"/>
        <v>6.4046936500000005</v>
      </c>
    </row>
    <row r="31" spans="1:13" ht="87.75" customHeight="1" x14ac:dyDescent="0.25">
      <c r="A31" s="478"/>
      <c r="B31" s="19" t="s">
        <v>176</v>
      </c>
      <c r="C31" s="19" t="s">
        <v>177</v>
      </c>
      <c r="D31" s="360">
        <v>16</v>
      </c>
      <c r="E31" s="361" t="s">
        <v>862</v>
      </c>
      <c r="F31" s="362">
        <v>130000000</v>
      </c>
      <c r="G31" s="362">
        <v>119774159</v>
      </c>
      <c r="H31" s="362">
        <f t="shared" si="1"/>
        <v>10225841</v>
      </c>
      <c r="I31" s="359" t="s">
        <v>863</v>
      </c>
      <c r="J31" s="26">
        <v>36</v>
      </c>
      <c r="K31" s="309">
        <f t="shared" si="2"/>
        <v>0.92133968461538462</v>
      </c>
      <c r="L31" s="309">
        <f t="shared" si="3"/>
        <v>2.25</v>
      </c>
      <c r="M31" s="316">
        <f t="shared" si="0"/>
        <v>1.5856698423076923</v>
      </c>
    </row>
    <row r="32" spans="1:13" ht="92.25" customHeight="1" x14ac:dyDescent="0.25">
      <c r="A32" s="478"/>
      <c r="B32" s="19" t="s">
        <v>178</v>
      </c>
      <c r="C32" s="19" t="s">
        <v>179</v>
      </c>
      <c r="D32" s="360">
        <v>6</v>
      </c>
      <c r="E32" s="361" t="s">
        <v>180</v>
      </c>
      <c r="F32" s="362">
        <v>12449515</v>
      </c>
      <c r="G32" s="362">
        <v>12449514</v>
      </c>
      <c r="H32" s="362">
        <f t="shared" si="1"/>
        <v>1</v>
      </c>
      <c r="I32" s="359" t="s">
        <v>864</v>
      </c>
      <c r="J32" s="360">
        <v>9</v>
      </c>
      <c r="K32" s="309">
        <f t="shared" si="2"/>
        <v>0.99999991967558577</v>
      </c>
      <c r="L32" s="309">
        <f t="shared" si="3"/>
        <v>1.5</v>
      </c>
      <c r="M32" s="316">
        <f t="shared" si="0"/>
        <v>1.2499999598377929</v>
      </c>
    </row>
    <row r="33" spans="1:13" s="20" customFormat="1" ht="82.5" customHeight="1" x14ac:dyDescent="0.25">
      <c r="A33" s="478"/>
      <c r="B33" s="19" t="s">
        <v>181</v>
      </c>
      <c r="C33" s="19" t="s">
        <v>182</v>
      </c>
      <c r="D33" s="360">
        <v>6</v>
      </c>
      <c r="E33" s="361" t="s">
        <v>183</v>
      </c>
      <c r="F33" s="362">
        <v>104817975</v>
      </c>
      <c r="G33" s="362">
        <v>104762209</v>
      </c>
      <c r="H33" s="362">
        <f t="shared" si="1"/>
        <v>55766</v>
      </c>
      <c r="I33" s="359" t="s">
        <v>865</v>
      </c>
      <c r="J33" s="360">
        <v>9</v>
      </c>
      <c r="K33" s="309">
        <f t="shared" si="2"/>
        <v>0.99946797293116951</v>
      </c>
      <c r="L33" s="309">
        <f t="shared" si="3"/>
        <v>1.5</v>
      </c>
      <c r="M33" s="316">
        <f t="shared" si="0"/>
        <v>1.2497339864655848</v>
      </c>
    </row>
    <row r="34" spans="1:13" ht="61.5" customHeight="1" thickBot="1" x14ac:dyDescent="0.3">
      <c r="A34" s="479"/>
      <c r="B34" s="364" t="s">
        <v>184</v>
      </c>
      <c r="C34" s="364" t="s">
        <v>185</v>
      </c>
      <c r="D34" s="365">
        <v>1</v>
      </c>
      <c r="E34" s="366" t="s">
        <v>186</v>
      </c>
      <c r="F34" s="367">
        <v>25000000</v>
      </c>
      <c r="G34" s="367">
        <v>24966667</v>
      </c>
      <c r="H34" s="367">
        <f t="shared" si="1"/>
        <v>33333</v>
      </c>
      <c r="I34" s="359" t="s">
        <v>866</v>
      </c>
      <c r="J34" s="365">
        <v>1</v>
      </c>
      <c r="K34" s="267">
        <f t="shared" si="2"/>
        <v>0.99866668000000003</v>
      </c>
      <c r="L34" s="267">
        <f t="shared" si="3"/>
        <v>1</v>
      </c>
      <c r="M34" s="268">
        <f t="shared" si="0"/>
        <v>0.99933333999999996</v>
      </c>
    </row>
    <row r="35" spans="1:13" x14ac:dyDescent="0.25">
      <c r="I35" s="40"/>
      <c r="J35" s="40"/>
      <c r="K35" s="40"/>
    </row>
  </sheetData>
  <mergeCells count="16">
    <mergeCell ref="I1:I2"/>
    <mergeCell ref="J1:J2"/>
    <mergeCell ref="K2:M2"/>
    <mergeCell ref="F2:H2"/>
    <mergeCell ref="A1:A2"/>
    <mergeCell ref="B1:B2"/>
    <mergeCell ref="C1:C2"/>
    <mergeCell ref="D1:D2"/>
    <mergeCell ref="E1:E2"/>
    <mergeCell ref="A27:A28"/>
    <mergeCell ref="A29:A34"/>
    <mergeCell ref="A3:A7"/>
    <mergeCell ref="A8:A16"/>
    <mergeCell ref="A17:A20"/>
    <mergeCell ref="A21:A22"/>
    <mergeCell ref="A23:A24"/>
  </mergeCells>
  <conditionalFormatting sqref="K3:K34">
    <cfRule type="cellIs" dxfId="564" priority="9" operator="greaterThan">
      <formula>50%</formula>
    </cfRule>
    <cfRule type="cellIs" dxfId="563" priority="10" operator="between">
      <formula>37.1%</formula>
      <formula>50%</formula>
    </cfRule>
    <cfRule type="cellIs" dxfId="562" priority="11" operator="between">
      <formula>16%</formula>
      <formula>37%</formula>
    </cfRule>
    <cfRule type="cellIs" dxfId="561" priority="12" operator="lessThan">
      <formula>16%</formula>
    </cfRule>
  </conditionalFormatting>
  <conditionalFormatting sqref="M3:M34">
    <cfRule type="cellIs" dxfId="560" priority="1" operator="greaterThan">
      <formula>50%</formula>
    </cfRule>
    <cfRule type="cellIs" dxfId="559" priority="2" operator="between">
      <formula>37.1%</formula>
      <formula>50%</formula>
    </cfRule>
    <cfRule type="cellIs" dxfId="558" priority="3" operator="between">
      <formula>16%</formula>
      <formula>37%</formula>
    </cfRule>
    <cfRule type="cellIs" dxfId="557" priority="4" operator="lessThan">
      <formula>16%</formula>
    </cfRule>
  </conditionalFormatting>
  <conditionalFormatting sqref="L3:L34">
    <cfRule type="cellIs" dxfId="556" priority="5" operator="greaterThan">
      <formula>50%</formula>
    </cfRule>
    <cfRule type="cellIs" dxfId="555" priority="6" operator="between">
      <formula>37.1%</formula>
      <formula>50%</formula>
    </cfRule>
    <cfRule type="cellIs" dxfId="554" priority="7" operator="between">
      <formula>16%</formula>
      <formula>37%</formula>
    </cfRule>
    <cfRule type="cellIs" dxfId="553" priority="8"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BC31"/>
  <sheetViews>
    <sheetView showGridLines="0" zoomScale="70" zoomScaleNormal="70" zoomScalePageLayoutView="50" workbookViewId="0">
      <pane xSplit="3" ySplit="3" topLeftCell="I4" activePane="bottomRight" state="frozen"/>
      <selection sqref="A1:A3"/>
      <selection pane="topRight" sqref="A1:A3"/>
      <selection pane="bottomLeft" sqref="A1:A3"/>
      <selection pane="bottomRight" activeCell="BC7" sqref="BC7"/>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6" width="14.28515625" customWidth="1"/>
    <col min="7" max="7" width="14.28515625" style="55" customWidth="1"/>
    <col min="8" max="8" width="17" customWidth="1"/>
    <col min="9" max="9" width="17.28515625" customWidth="1"/>
    <col min="10" max="10" width="19.85546875" customWidth="1"/>
    <col min="11" max="11" width="16.7109375" customWidth="1"/>
    <col min="12" max="20" width="11.42578125" hidden="1" customWidth="1"/>
    <col min="21" max="21" width="13.140625" hidden="1" customWidth="1"/>
    <col min="22" max="22" width="0.28515625" hidden="1" customWidth="1"/>
    <col min="23" max="41" width="11.42578125" hidden="1" customWidth="1"/>
    <col min="42" max="42" width="2.5703125" hidden="1" customWidth="1"/>
    <col min="43" max="49" width="11.42578125" hidden="1" customWidth="1"/>
    <col min="50" max="50" width="27.85546875" hidden="1" customWidth="1"/>
    <col min="55" max="55" width="96.7109375" customWidth="1"/>
  </cols>
  <sheetData>
    <row r="1" spans="1:55" ht="15" customHeight="1" x14ac:dyDescent="0.25">
      <c r="A1" s="452" t="s">
        <v>366</v>
      </c>
      <c r="B1" s="453"/>
      <c r="C1" s="449" t="s">
        <v>364</v>
      </c>
      <c r="D1" s="450"/>
      <c r="E1" s="451"/>
      <c r="F1" s="455"/>
      <c r="G1" s="456"/>
      <c r="H1" s="457"/>
      <c r="I1" s="529" t="s">
        <v>0</v>
      </c>
      <c r="J1" s="524" t="s">
        <v>1</v>
      </c>
      <c r="K1" s="524" t="s">
        <v>2</v>
      </c>
      <c r="L1" s="518" t="s">
        <v>3</v>
      </c>
      <c r="M1" s="519"/>
      <c r="N1" s="519"/>
      <c r="O1" s="519"/>
      <c r="P1" s="519"/>
      <c r="Q1" s="520"/>
      <c r="R1" s="526" t="s">
        <v>4</v>
      </c>
      <c r="S1" s="516" t="s">
        <v>5</v>
      </c>
      <c r="T1" s="514" t="s">
        <v>6</v>
      </c>
      <c r="U1" s="516" t="s">
        <v>7</v>
      </c>
      <c r="V1" s="486" t="s">
        <v>8</v>
      </c>
      <c r="W1" s="529" t="s">
        <v>0</v>
      </c>
      <c r="X1" s="524" t="s">
        <v>1</v>
      </c>
      <c r="Y1" s="524" t="s">
        <v>2</v>
      </c>
      <c r="Z1" s="518" t="s">
        <v>3</v>
      </c>
      <c r="AA1" s="519"/>
      <c r="AB1" s="519"/>
      <c r="AC1" s="519"/>
      <c r="AD1" s="519"/>
      <c r="AE1" s="520"/>
      <c r="AF1" s="526" t="s">
        <v>4</v>
      </c>
      <c r="AG1" s="516" t="s">
        <v>5</v>
      </c>
      <c r="AH1" s="514" t="s">
        <v>6</v>
      </c>
      <c r="AI1" s="516" t="s">
        <v>7</v>
      </c>
      <c r="AJ1" s="486" t="s">
        <v>8</v>
      </c>
      <c r="AK1" s="529" t="s">
        <v>0</v>
      </c>
      <c r="AL1" s="524" t="s">
        <v>1</v>
      </c>
      <c r="AM1" s="524" t="s">
        <v>2</v>
      </c>
      <c r="AN1" s="518" t="s">
        <v>3</v>
      </c>
      <c r="AO1" s="519"/>
      <c r="AP1" s="519"/>
      <c r="AQ1" s="519"/>
      <c r="AR1" s="519"/>
      <c r="AS1" s="520"/>
      <c r="AT1" s="526" t="s">
        <v>4</v>
      </c>
      <c r="AU1" s="516" t="s">
        <v>5</v>
      </c>
      <c r="AV1" s="514" t="s">
        <v>6</v>
      </c>
      <c r="AW1" s="516" t="s">
        <v>7</v>
      </c>
      <c r="AX1" s="486" t="s">
        <v>8</v>
      </c>
      <c r="AY1" s="518" t="s">
        <v>3</v>
      </c>
      <c r="AZ1" s="519"/>
      <c r="BA1" s="520"/>
      <c r="BC1" s="486" t="s">
        <v>8</v>
      </c>
    </row>
    <row r="2" spans="1:55" ht="28.5" customHeight="1" x14ac:dyDescent="0.25">
      <c r="A2" s="445" t="s">
        <v>9</v>
      </c>
      <c r="B2" s="445" t="s">
        <v>10</v>
      </c>
      <c r="C2" s="445" t="s">
        <v>11</v>
      </c>
      <c r="D2" s="445" t="s">
        <v>12</v>
      </c>
      <c r="E2" s="443" t="s">
        <v>13</v>
      </c>
      <c r="F2" s="445" t="s">
        <v>14</v>
      </c>
      <c r="G2" s="445" t="s">
        <v>15</v>
      </c>
      <c r="H2" s="445" t="s">
        <v>16</v>
      </c>
      <c r="I2" s="530"/>
      <c r="J2" s="525"/>
      <c r="K2" s="525"/>
      <c r="L2" s="518" t="s">
        <v>597</v>
      </c>
      <c r="M2" s="520"/>
      <c r="N2" s="518" t="s">
        <v>598</v>
      </c>
      <c r="O2" s="520"/>
      <c r="P2" s="518" t="s">
        <v>599</v>
      </c>
      <c r="Q2" s="520"/>
      <c r="R2" s="527"/>
      <c r="S2" s="517"/>
      <c r="T2" s="515"/>
      <c r="U2" s="517"/>
      <c r="V2" s="487"/>
      <c r="W2" s="530"/>
      <c r="X2" s="525"/>
      <c r="Y2" s="525"/>
      <c r="Z2" s="518" t="s">
        <v>756</v>
      </c>
      <c r="AA2" s="520"/>
      <c r="AB2" s="518" t="s">
        <v>757</v>
      </c>
      <c r="AC2" s="520"/>
      <c r="AD2" s="518" t="s">
        <v>758</v>
      </c>
      <c r="AE2" s="520"/>
      <c r="AF2" s="527"/>
      <c r="AG2" s="517"/>
      <c r="AH2" s="515"/>
      <c r="AI2" s="517"/>
      <c r="AJ2" s="487"/>
      <c r="AK2" s="530"/>
      <c r="AL2" s="525"/>
      <c r="AM2" s="525"/>
      <c r="AN2" s="518" t="s">
        <v>759</v>
      </c>
      <c r="AO2" s="520"/>
      <c r="AP2" s="518" t="s">
        <v>760</v>
      </c>
      <c r="AQ2" s="520"/>
      <c r="AR2" s="518" t="s">
        <v>761</v>
      </c>
      <c r="AS2" s="520"/>
      <c r="AT2" s="527"/>
      <c r="AU2" s="517"/>
      <c r="AV2" s="515"/>
      <c r="AW2" s="517"/>
      <c r="AX2" s="487"/>
      <c r="AY2" s="335" t="s">
        <v>698</v>
      </c>
      <c r="AZ2" s="336" t="s">
        <v>699</v>
      </c>
      <c r="BA2" s="336" t="s">
        <v>703</v>
      </c>
      <c r="BB2" s="53" t="s">
        <v>762</v>
      </c>
      <c r="BC2" s="487"/>
    </row>
    <row r="3" spans="1:55" ht="23.25" customHeight="1" thickBot="1" x14ac:dyDescent="0.3">
      <c r="A3" s="446"/>
      <c r="B3" s="446"/>
      <c r="C3" s="446"/>
      <c r="D3" s="446"/>
      <c r="E3" s="444"/>
      <c r="F3" s="446"/>
      <c r="G3" s="446"/>
      <c r="H3" s="446"/>
      <c r="I3" s="460" t="s">
        <v>17</v>
      </c>
      <c r="J3" s="461"/>
      <c r="K3" s="462"/>
      <c r="L3" s="53" t="s">
        <v>18</v>
      </c>
      <c r="M3" s="53" t="s">
        <v>19</v>
      </c>
      <c r="N3" s="53" t="s">
        <v>18</v>
      </c>
      <c r="O3" s="53" t="s">
        <v>19</v>
      </c>
      <c r="P3" s="53" t="s">
        <v>18</v>
      </c>
      <c r="Q3" s="53" t="s">
        <v>19</v>
      </c>
      <c r="R3" s="528"/>
      <c r="S3" s="521" t="s">
        <v>20</v>
      </c>
      <c r="T3" s="522"/>
      <c r="U3" s="523"/>
      <c r="V3" s="488"/>
      <c r="W3" s="460" t="s">
        <v>17</v>
      </c>
      <c r="X3" s="461"/>
      <c r="Y3" s="462"/>
      <c r="Z3" s="53" t="s">
        <v>18</v>
      </c>
      <c r="AA3" s="53" t="s">
        <v>19</v>
      </c>
      <c r="AB3" s="53" t="s">
        <v>18</v>
      </c>
      <c r="AC3" s="53" t="s">
        <v>19</v>
      </c>
      <c r="AD3" s="53" t="s">
        <v>18</v>
      </c>
      <c r="AE3" s="53" t="s">
        <v>19</v>
      </c>
      <c r="AF3" s="528"/>
      <c r="AG3" s="521" t="s">
        <v>20</v>
      </c>
      <c r="AH3" s="522"/>
      <c r="AI3" s="523"/>
      <c r="AJ3" s="488"/>
      <c r="AK3" s="460" t="s">
        <v>17</v>
      </c>
      <c r="AL3" s="461"/>
      <c r="AM3" s="462"/>
      <c r="AN3" s="53" t="s">
        <v>18</v>
      </c>
      <c r="AO3" s="53" t="s">
        <v>19</v>
      </c>
      <c r="AP3" s="53" t="s">
        <v>18</v>
      </c>
      <c r="AQ3" s="53" t="s">
        <v>19</v>
      </c>
      <c r="AR3" s="53" t="s">
        <v>18</v>
      </c>
      <c r="AS3" s="53" t="s">
        <v>19</v>
      </c>
      <c r="AT3" s="528"/>
      <c r="AU3" s="521" t="s">
        <v>20</v>
      </c>
      <c r="AV3" s="522"/>
      <c r="AW3" s="523"/>
      <c r="AX3" s="488"/>
      <c r="AY3" s="336" t="s">
        <v>18</v>
      </c>
      <c r="AZ3" s="336" t="s">
        <v>18</v>
      </c>
      <c r="BA3" s="336" t="s">
        <v>18</v>
      </c>
      <c r="BB3" s="53" t="s">
        <v>18</v>
      </c>
      <c r="BC3" s="488"/>
    </row>
    <row r="4" spans="1:55" s="16" customFormat="1" ht="60.75" customHeight="1" x14ac:dyDescent="0.25">
      <c r="A4" s="534" t="s">
        <v>251</v>
      </c>
      <c r="B4" s="408" t="s">
        <v>252</v>
      </c>
      <c r="C4" s="298" t="str">
        <f>[1]SEGUIMIENTO!C102</f>
        <v>SB-PY1.1</v>
      </c>
      <c r="D4" s="211" t="str">
        <f>[1]SEGUIMIENTO!D102</f>
        <v>Prestación servicio médico a estudiantes en las Sedes</v>
      </c>
      <c r="E4" s="298">
        <f>[1]SEGUIMIENTO!E102</f>
        <v>301</v>
      </c>
      <c r="F4" s="307" t="s">
        <v>255</v>
      </c>
      <c r="G4" s="337">
        <v>1325</v>
      </c>
      <c r="H4" s="307" t="s">
        <v>256</v>
      </c>
      <c r="I4" s="312">
        <v>66044336</v>
      </c>
      <c r="J4" s="312">
        <v>63475863</v>
      </c>
      <c r="K4" s="313">
        <f>I4-J4</f>
        <v>2568473</v>
      </c>
      <c r="L4" s="290">
        <v>8</v>
      </c>
      <c r="M4" s="315">
        <f>IFERROR((L4/G4),0)</f>
        <v>6.0377358490566035E-3</v>
      </c>
      <c r="N4" s="290">
        <v>114</v>
      </c>
      <c r="O4" s="315">
        <f>IFERROR((N4/G4),0)</f>
        <v>8.6037735849056607E-2</v>
      </c>
      <c r="P4" s="290">
        <v>305</v>
      </c>
      <c r="Q4" s="315">
        <f>IFERROR((P4/G4),0)</f>
        <v>0.23018867924528302</v>
      </c>
      <c r="R4" s="73">
        <f>+L4+N4+P4</f>
        <v>427</v>
      </c>
      <c r="S4" s="318">
        <f t="shared" ref="S4:S12" si="0">IFERROR((J4/I4),0)</f>
        <v>0.9611098671655961</v>
      </c>
      <c r="T4" s="309">
        <f t="shared" ref="T4:T30" si="1">M4+O4+Q4</f>
        <v>0.32226415094339622</v>
      </c>
      <c r="U4" s="309">
        <f>(S4+T4)/2</f>
        <v>0.64168700905449616</v>
      </c>
      <c r="V4" s="220" t="s">
        <v>763</v>
      </c>
      <c r="W4" s="312">
        <v>95000000</v>
      </c>
      <c r="X4" s="312">
        <v>39808354</v>
      </c>
      <c r="Y4" s="313">
        <f>W4-X4</f>
        <v>55191646</v>
      </c>
      <c r="Z4" s="290">
        <v>217</v>
      </c>
      <c r="AA4" s="315">
        <f>IFERROR((Z4/G4),0)</f>
        <v>0.16377358490566038</v>
      </c>
      <c r="AB4" s="290">
        <v>217</v>
      </c>
      <c r="AC4" s="315">
        <f>IFERROR((AB4/G4),0)</f>
        <v>0.16377358490566038</v>
      </c>
      <c r="AD4" s="290">
        <v>49</v>
      </c>
      <c r="AE4" s="315">
        <f>IFERROR((AD4/G4),0)</f>
        <v>3.6981132075471698E-2</v>
      </c>
      <c r="AF4" s="73">
        <f>+Z4+AB4+AD4</f>
        <v>483</v>
      </c>
      <c r="AG4" s="318">
        <f t="shared" ref="AG4:AG8" si="2">IFERROR((X4/W4),0)</f>
        <v>0.41903530526315791</v>
      </c>
      <c r="AH4" s="309">
        <f>IFERROR((AF4/G4),0)</f>
        <v>0.36452830188679247</v>
      </c>
      <c r="AI4" s="309">
        <f>(AG4+AH4)/2</f>
        <v>0.39178180357497516</v>
      </c>
      <c r="AJ4" s="308" t="s">
        <v>764</v>
      </c>
      <c r="AK4" s="312">
        <v>95000000</v>
      </c>
      <c r="AL4" s="312">
        <v>57914038</v>
      </c>
      <c r="AM4" s="313">
        <f>AK4-AL4</f>
        <v>37085962</v>
      </c>
      <c r="AN4" s="290">
        <v>6</v>
      </c>
      <c r="AO4" s="315">
        <f>IFERROR((AN4/U4),0)</f>
        <v>9.3503529218096446</v>
      </c>
      <c r="AP4" s="290">
        <v>168</v>
      </c>
      <c r="AQ4" s="315">
        <f>IFERROR((AP4/U4),0)</f>
        <v>261.80988181067005</v>
      </c>
      <c r="AR4" s="290">
        <v>288</v>
      </c>
      <c r="AS4" s="315">
        <f>IFERROR((AR4/U4),0)</f>
        <v>448.81694024686294</v>
      </c>
      <c r="AT4" s="73">
        <f t="shared" ref="AT4:AT28" si="3">+AN4+AP4+AR4</f>
        <v>462</v>
      </c>
      <c r="AU4" s="338">
        <f>IFERROR((AL4/AK4),0)</f>
        <v>0.60962145263157896</v>
      </c>
      <c r="AV4" s="338">
        <f t="shared" ref="AV4:AV28" si="4">IFERROR((AT4/U4),0)</f>
        <v>719.97717497934264</v>
      </c>
      <c r="AW4" s="338">
        <f>(AU4+AV4)/2</f>
        <v>360.29339821598711</v>
      </c>
      <c r="AX4" s="1" t="s">
        <v>765</v>
      </c>
      <c r="AY4" s="1">
        <v>215</v>
      </c>
      <c r="AZ4" s="1">
        <v>256</v>
      </c>
      <c r="BA4" s="1">
        <v>10</v>
      </c>
      <c r="BB4" s="339">
        <f>+L4+N4+P4+Z4+AB4+AD4+AN4+AP4+AR4+AY4+AZ4+BA4</f>
        <v>1853</v>
      </c>
      <c r="BC4" s="220" t="s">
        <v>766</v>
      </c>
    </row>
    <row r="5" spans="1:55" s="16" customFormat="1" ht="72" customHeight="1" x14ac:dyDescent="0.25">
      <c r="A5" s="407"/>
      <c r="B5" s="409"/>
      <c r="C5" s="298" t="str">
        <f>[1]SEGUIMIENTO!C103</f>
        <v>SB-PY1.2</v>
      </c>
      <c r="D5" s="211" t="str">
        <f>[1]SEGUIMIENTO!D103</f>
        <v>Prestación servicio odontólogico a estudiantes en las Sedes</v>
      </c>
      <c r="E5" s="298">
        <f>[1]SEGUIMIENTO!E103</f>
        <v>301</v>
      </c>
      <c r="F5" s="296" t="s">
        <v>255</v>
      </c>
      <c r="G5" s="337">
        <v>877</v>
      </c>
      <c r="H5" s="296" t="s">
        <v>256</v>
      </c>
      <c r="I5" s="312">
        <v>62935845</v>
      </c>
      <c r="J5" s="4">
        <v>62935844</v>
      </c>
      <c r="K5" s="313">
        <f t="shared" ref="K5:K29" si="5">I5-J5</f>
        <v>1</v>
      </c>
      <c r="L5" s="290">
        <v>0</v>
      </c>
      <c r="M5" s="315">
        <f t="shared" ref="M5:M28" si="6">IFERROR((L5/G5),0)</f>
        <v>0</v>
      </c>
      <c r="N5" s="290">
        <v>80</v>
      </c>
      <c r="O5" s="315">
        <f t="shared" ref="O5:O28" si="7">IFERROR((N5/G5),0)</f>
        <v>9.1220068415051314E-2</v>
      </c>
      <c r="P5" s="290">
        <v>139</v>
      </c>
      <c r="Q5" s="315">
        <f t="shared" ref="Q5:Q28" si="8">IFERROR((P5/G5),0)</f>
        <v>0.15849486887115166</v>
      </c>
      <c r="R5" s="45">
        <f t="shared" ref="R5:R15" si="9">+L5+N5+P5</f>
        <v>219</v>
      </c>
      <c r="S5" s="309">
        <f t="shared" si="0"/>
        <v>0.9999999841108036</v>
      </c>
      <c r="T5" s="309">
        <f t="shared" si="1"/>
        <v>0.24971493728620298</v>
      </c>
      <c r="U5" s="309">
        <f t="shared" ref="U5:U30" si="10">(S5+T5)/2</f>
        <v>0.62485746069850334</v>
      </c>
      <c r="V5" s="308" t="s">
        <v>767</v>
      </c>
      <c r="W5" s="4">
        <v>70000000</v>
      </c>
      <c r="X5" s="4">
        <v>49541154</v>
      </c>
      <c r="Y5" s="313">
        <f t="shared" ref="Y5:Y8" si="11">W5-X5</f>
        <v>20458846</v>
      </c>
      <c r="Z5" s="290">
        <v>76</v>
      </c>
      <c r="AA5" s="315">
        <f t="shared" ref="AA5:AA28" si="12">IFERROR((Z5/G5),0)</f>
        <v>8.6659064994298748E-2</v>
      </c>
      <c r="AB5" s="290">
        <v>112</v>
      </c>
      <c r="AC5" s="315">
        <f t="shared" ref="AC5:AC28" si="13">IFERROR((AB5/G5),0)</f>
        <v>0.12770809578107184</v>
      </c>
      <c r="AD5" s="290">
        <v>69</v>
      </c>
      <c r="AE5" s="315">
        <f t="shared" ref="AE5:AE28" si="14">IFERROR((AD5/G5),0)</f>
        <v>7.8677309007981755E-2</v>
      </c>
      <c r="AF5" s="45">
        <f t="shared" ref="AF5:AF15" si="15">+Z5+AB5+AD5</f>
        <v>257</v>
      </c>
      <c r="AG5" s="309">
        <f t="shared" si="2"/>
        <v>0.70773077142857144</v>
      </c>
      <c r="AH5" s="309">
        <f t="shared" ref="AH5:AH28" si="16">IFERROR((AF5/G5),0)</f>
        <v>0.29304446978335236</v>
      </c>
      <c r="AI5" s="309">
        <f t="shared" ref="AI5:AI30" si="17">(AG5+AH5)/2</f>
        <v>0.50038762060596187</v>
      </c>
      <c r="AJ5" s="220" t="s">
        <v>768</v>
      </c>
      <c r="AK5" s="4">
        <v>70000000</v>
      </c>
      <c r="AL5" s="312">
        <v>62935845</v>
      </c>
      <c r="AM5" s="313">
        <f t="shared" ref="AM5:AM8" si="18">AK5-AL5</f>
        <v>7064155</v>
      </c>
      <c r="AN5" s="290">
        <v>3</v>
      </c>
      <c r="AO5" s="315">
        <f t="shared" ref="AO5:AO28" si="19">IFERROR((AN5/U5),0)</f>
        <v>4.8010949515533019</v>
      </c>
      <c r="AP5" s="290">
        <v>122</v>
      </c>
      <c r="AQ5" s="315">
        <f t="shared" ref="AQ5:AQ28" si="20">IFERROR((AP5/U5),0)</f>
        <v>195.24452802983427</v>
      </c>
      <c r="AR5" s="290">
        <v>150</v>
      </c>
      <c r="AS5" s="315">
        <f t="shared" ref="AS5:AS28" si="21">IFERROR((AR5/U5),0)</f>
        <v>240.0547475776651</v>
      </c>
      <c r="AT5" s="45">
        <f t="shared" si="3"/>
        <v>275</v>
      </c>
      <c r="AU5" s="338">
        <f>IFERROR((AL5/AK5),0)</f>
        <v>0.89908350000000004</v>
      </c>
      <c r="AV5" s="338">
        <f t="shared" si="4"/>
        <v>440.10037055905264</v>
      </c>
      <c r="AW5" s="338">
        <f t="shared" ref="AW5:AW28" si="22">(AU5+AV5)/2</f>
        <v>220.49972702952633</v>
      </c>
      <c r="AX5" s="1" t="s">
        <v>769</v>
      </c>
      <c r="AY5" s="1">
        <v>104</v>
      </c>
      <c r="AZ5" s="1">
        <v>120</v>
      </c>
      <c r="BA5" s="1">
        <v>11</v>
      </c>
      <c r="BB5" s="339">
        <f>+L5+N5+P5+Z5+AB5+AD5+AN5+AP5+AR5+AY5+AZ5+BA5</f>
        <v>986</v>
      </c>
      <c r="BC5" s="308" t="s">
        <v>770</v>
      </c>
    </row>
    <row r="6" spans="1:55" s="16" customFormat="1" ht="76.5" customHeight="1" x14ac:dyDescent="0.25">
      <c r="A6" s="407"/>
      <c r="B6" s="409"/>
      <c r="C6" s="298" t="str">
        <f>[1]SEGUIMIENTO!C104</f>
        <v>SB-PY1.3</v>
      </c>
      <c r="D6" s="211" t="str">
        <f>[1]SEGUIMIENTO!D104</f>
        <v>Prestación servicio Psicológico a estudiantes en las Sedes</v>
      </c>
      <c r="E6" s="298">
        <f>[1]SEGUIMIENTO!E104</f>
        <v>301</v>
      </c>
      <c r="F6" s="296" t="s">
        <v>255</v>
      </c>
      <c r="G6" s="337">
        <v>889</v>
      </c>
      <c r="H6" s="296" t="s">
        <v>256</v>
      </c>
      <c r="I6" s="312">
        <v>72070749</v>
      </c>
      <c r="J6" s="4">
        <v>72070749</v>
      </c>
      <c r="K6" s="313">
        <f t="shared" si="5"/>
        <v>0</v>
      </c>
      <c r="L6" s="290">
        <v>0</v>
      </c>
      <c r="M6" s="315">
        <f t="shared" si="6"/>
        <v>0</v>
      </c>
      <c r="N6" s="290">
        <v>100</v>
      </c>
      <c r="O6" s="315">
        <f t="shared" si="7"/>
        <v>0.1124859392575928</v>
      </c>
      <c r="P6" s="290">
        <v>245</v>
      </c>
      <c r="Q6" s="315">
        <f t="shared" si="8"/>
        <v>0.27559055118110237</v>
      </c>
      <c r="R6" s="45">
        <f t="shared" si="9"/>
        <v>345</v>
      </c>
      <c r="S6" s="309">
        <f t="shared" si="0"/>
        <v>1</v>
      </c>
      <c r="T6" s="309">
        <f t="shared" si="1"/>
        <v>0.38807649043869519</v>
      </c>
      <c r="U6" s="309">
        <f t="shared" si="10"/>
        <v>0.69403824521934765</v>
      </c>
      <c r="V6" s="508" t="s">
        <v>771</v>
      </c>
      <c r="W6" s="4">
        <v>45000000</v>
      </c>
      <c r="X6" s="4">
        <v>30126510</v>
      </c>
      <c r="Y6" s="313">
        <f t="shared" si="11"/>
        <v>14873490</v>
      </c>
      <c r="Z6" s="290">
        <v>164</v>
      </c>
      <c r="AA6" s="315">
        <f t="shared" si="12"/>
        <v>0.18447694038245219</v>
      </c>
      <c r="AB6" s="290">
        <v>254</v>
      </c>
      <c r="AC6" s="315">
        <f t="shared" si="13"/>
        <v>0.2857142857142857</v>
      </c>
      <c r="AD6" s="290">
        <v>88</v>
      </c>
      <c r="AE6" s="315">
        <f t="shared" si="14"/>
        <v>9.8987626546681667E-2</v>
      </c>
      <c r="AF6" s="45">
        <f t="shared" si="15"/>
        <v>506</v>
      </c>
      <c r="AG6" s="309">
        <f t="shared" si="2"/>
        <v>0.66947800000000002</v>
      </c>
      <c r="AH6" s="309">
        <f t="shared" si="16"/>
        <v>0.56917885264341961</v>
      </c>
      <c r="AI6" s="309">
        <f t="shared" si="17"/>
        <v>0.61932842632170981</v>
      </c>
      <c r="AJ6" s="308" t="s">
        <v>772</v>
      </c>
      <c r="AK6" s="4">
        <v>45000000</v>
      </c>
      <c r="AL6" s="312">
        <v>72070749</v>
      </c>
      <c r="AM6" s="313">
        <f t="shared" si="18"/>
        <v>-27070749</v>
      </c>
      <c r="AN6" s="290">
        <v>0</v>
      </c>
      <c r="AO6" s="315">
        <f t="shared" si="19"/>
        <v>0</v>
      </c>
      <c r="AP6" s="290">
        <v>110</v>
      </c>
      <c r="AQ6" s="315">
        <f t="shared" si="20"/>
        <v>158.4927066450567</v>
      </c>
      <c r="AR6" s="290">
        <v>193</v>
      </c>
      <c r="AS6" s="315">
        <f t="shared" si="21"/>
        <v>278.0826580226904</v>
      </c>
      <c r="AT6" s="45">
        <f t="shared" si="3"/>
        <v>303</v>
      </c>
      <c r="AU6" s="338">
        <f>IFERROR((AL6/AK6),0)</f>
        <v>1.6015721999999999</v>
      </c>
      <c r="AV6" s="338">
        <f t="shared" si="4"/>
        <v>436.57536466774712</v>
      </c>
      <c r="AW6" s="338">
        <f t="shared" si="22"/>
        <v>219.08846843387357</v>
      </c>
      <c r="AX6" s="1" t="s">
        <v>773</v>
      </c>
      <c r="AY6" s="1">
        <v>131</v>
      </c>
      <c r="AZ6" s="1">
        <v>135</v>
      </c>
      <c r="BA6" s="1">
        <v>0</v>
      </c>
      <c r="BB6" s="339">
        <f>+L6+N6+P6+Z6+AB6+AD6+AN6+AP6+AR6+AY6+AZ6+BA6</f>
        <v>1420</v>
      </c>
      <c r="BC6" s="340" t="s">
        <v>774</v>
      </c>
    </row>
    <row r="7" spans="1:55" ht="42.75" customHeight="1" x14ac:dyDescent="0.25">
      <c r="A7" s="407"/>
      <c r="B7" s="409"/>
      <c r="C7" s="298" t="str">
        <f>[1]SEGUIMIENTO!C105</f>
        <v>SB-PY1.4</v>
      </c>
      <c r="D7" s="211" t="str">
        <f>[1]SEGUIMIENTO!D105</f>
        <v>Apoyo a actividades de clima organizacional, docentes, estudiantes y administrativos en las Sedes.</v>
      </c>
      <c r="E7" s="298">
        <f>[1]SEGUIMIENTO!E105</f>
        <v>301</v>
      </c>
      <c r="F7" s="25" t="s">
        <v>263</v>
      </c>
      <c r="G7" s="337">
        <v>1</v>
      </c>
      <c r="H7" s="25" t="s">
        <v>775</v>
      </c>
      <c r="I7" s="312">
        <v>12117425</v>
      </c>
      <c r="J7" s="4">
        <v>10143300</v>
      </c>
      <c r="K7" s="313">
        <f t="shared" si="5"/>
        <v>1974125</v>
      </c>
      <c r="L7" s="29">
        <v>0</v>
      </c>
      <c r="M7" s="315">
        <f t="shared" si="6"/>
        <v>0</v>
      </c>
      <c r="N7" s="29">
        <v>0</v>
      </c>
      <c r="O7" s="315">
        <f t="shared" si="7"/>
        <v>0</v>
      </c>
      <c r="P7" s="29">
        <v>0</v>
      </c>
      <c r="Q7" s="315">
        <f t="shared" si="8"/>
        <v>0</v>
      </c>
      <c r="R7" s="224">
        <f t="shared" si="9"/>
        <v>0</v>
      </c>
      <c r="S7" s="309">
        <f t="shared" si="0"/>
        <v>0.83708378636550262</v>
      </c>
      <c r="T7" s="309">
        <f t="shared" si="1"/>
        <v>0</v>
      </c>
      <c r="U7" s="309">
        <f t="shared" si="10"/>
        <v>0.41854189318275131</v>
      </c>
      <c r="V7" s="509"/>
      <c r="W7" s="4">
        <v>8991754</v>
      </c>
      <c r="X7" s="4">
        <v>2000000</v>
      </c>
      <c r="Y7" s="313">
        <f t="shared" si="11"/>
        <v>6991754</v>
      </c>
      <c r="Z7" s="341">
        <v>0</v>
      </c>
      <c r="AA7" s="315">
        <f t="shared" si="12"/>
        <v>0</v>
      </c>
      <c r="AB7" s="341">
        <v>0</v>
      </c>
      <c r="AC7" s="315">
        <f t="shared" si="13"/>
        <v>0</v>
      </c>
      <c r="AD7" s="341">
        <v>1</v>
      </c>
      <c r="AE7" s="315">
        <f t="shared" si="14"/>
        <v>1</v>
      </c>
      <c r="AF7" s="342">
        <f t="shared" si="15"/>
        <v>1</v>
      </c>
      <c r="AG7" s="309">
        <f t="shared" si="2"/>
        <v>0.22242601387893843</v>
      </c>
      <c r="AH7" s="309">
        <f t="shared" si="16"/>
        <v>1</v>
      </c>
      <c r="AI7" s="309">
        <f t="shared" si="17"/>
        <v>0.61121300693946923</v>
      </c>
      <c r="AJ7" s="82" t="s">
        <v>776</v>
      </c>
      <c r="AK7" s="4">
        <v>8991754</v>
      </c>
      <c r="AL7" s="312">
        <v>2000000</v>
      </c>
      <c r="AM7" s="313">
        <f t="shared" si="18"/>
        <v>6991754</v>
      </c>
      <c r="AN7" s="341">
        <v>0</v>
      </c>
      <c r="AO7" s="315">
        <f t="shared" si="19"/>
        <v>0</v>
      </c>
      <c r="AP7" s="341">
        <v>0</v>
      </c>
      <c r="AQ7" s="315">
        <f t="shared" si="20"/>
        <v>0</v>
      </c>
      <c r="AR7" s="341">
        <v>0</v>
      </c>
      <c r="AS7" s="315">
        <f t="shared" si="21"/>
        <v>0</v>
      </c>
      <c r="AT7" s="342">
        <f t="shared" si="3"/>
        <v>0</v>
      </c>
      <c r="AU7" s="338">
        <f>IFERROR((AL7/AK7),0)</f>
        <v>0.22242601387893843</v>
      </c>
      <c r="AV7" s="338">
        <f t="shared" si="4"/>
        <v>0</v>
      </c>
      <c r="AW7" s="338">
        <f t="shared" si="22"/>
        <v>0.11121300693946921</v>
      </c>
      <c r="AX7" s="82" t="s">
        <v>776</v>
      </c>
      <c r="AY7" s="82">
        <v>0</v>
      </c>
      <c r="AZ7" s="82">
        <v>0</v>
      </c>
      <c r="BA7" s="82">
        <v>0</v>
      </c>
      <c r="BB7" s="339">
        <f>+L7+N7+P7+Z7+AB7+AD7+AN7+AP7+AR7</f>
        <v>1</v>
      </c>
      <c r="BC7" s="79" t="s">
        <v>777</v>
      </c>
    </row>
    <row r="8" spans="1:55" ht="44.25" customHeight="1" x14ac:dyDescent="0.25">
      <c r="A8" s="407"/>
      <c r="B8" s="409"/>
      <c r="C8" s="412" t="str">
        <f>[1]SEGUIMIENTO!C106</f>
        <v>SB-PY1.5</v>
      </c>
      <c r="D8" s="503" t="str">
        <f>[1]SEGUIMIENTO!D106</f>
        <v>Atención apersonas en drogadicción, prostitución y E.T.V.  en las Sedes.</v>
      </c>
      <c r="E8" s="412">
        <f>[1]SEGUIMIENTO!E106</f>
        <v>301</v>
      </c>
      <c r="F8" s="438" t="s">
        <v>255</v>
      </c>
      <c r="G8" s="337">
        <v>2600</v>
      </c>
      <c r="H8" s="26" t="s">
        <v>778</v>
      </c>
      <c r="I8" s="505">
        <v>31781315</v>
      </c>
      <c r="J8" s="505">
        <v>31389315</v>
      </c>
      <c r="K8" s="499">
        <f t="shared" si="5"/>
        <v>392000</v>
      </c>
      <c r="L8" s="290"/>
      <c r="M8" s="315">
        <f t="shared" si="6"/>
        <v>0</v>
      </c>
      <c r="N8" s="290">
        <v>174</v>
      </c>
      <c r="O8" s="315">
        <f t="shared" si="7"/>
        <v>6.6923076923076918E-2</v>
      </c>
      <c r="P8" s="290">
        <v>470</v>
      </c>
      <c r="Q8" s="315">
        <f t="shared" si="8"/>
        <v>0.18076923076923077</v>
      </c>
      <c r="R8" s="45">
        <f t="shared" si="9"/>
        <v>644</v>
      </c>
      <c r="S8" s="483">
        <f t="shared" si="0"/>
        <v>0.98766570860897351</v>
      </c>
      <c r="T8" s="483">
        <f t="shared" si="1"/>
        <v>0.24769230769230768</v>
      </c>
      <c r="U8" s="483">
        <f t="shared" si="10"/>
        <v>0.61767900815064058</v>
      </c>
      <c r="V8" s="308" t="s">
        <v>779</v>
      </c>
      <c r="W8" s="505">
        <v>35000000</v>
      </c>
      <c r="X8" s="505">
        <v>19972848</v>
      </c>
      <c r="Y8" s="499">
        <f t="shared" si="11"/>
        <v>15027152</v>
      </c>
      <c r="Z8" s="290">
        <v>335</v>
      </c>
      <c r="AA8" s="315">
        <f t="shared" si="12"/>
        <v>0.12884615384615383</v>
      </c>
      <c r="AB8" s="290">
        <v>269</v>
      </c>
      <c r="AC8" s="315">
        <f t="shared" si="13"/>
        <v>0.10346153846153847</v>
      </c>
      <c r="AD8" s="290">
        <v>0</v>
      </c>
      <c r="AE8" s="315">
        <f t="shared" si="14"/>
        <v>0</v>
      </c>
      <c r="AF8" s="45">
        <f t="shared" si="15"/>
        <v>604</v>
      </c>
      <c r="AG8" s="483">
        <f t="shared" si="2"/>
        <v>0.57065279999999996</v>
      </c>
      <c r="AH8" s="309">
        <f t="shared" si="16"/>
        <v>0.2323076923076923</v>
      </c>
      <c r="AI8" s="309">
        <f t="shared" si="17"/>
        <v>0.40148024615384614</v>
      </c>
      <c r="AJ8" s="220" t="s">
        <v>763</v>
      </c>
      <c r="AK8" s="505">
        <v>35000000</v>
      </c>
      <c r="AL8" s="312">
        <v>30781315</v>
      </c>
      <c r="AM8" s="499">
        <f t="shared" si="18"/>
        <v>4218685</v>
      </c>
      <c r="AN8" s="290">
        <v>0</v>
      </c>
      <c r="AO8" s="315">
        <f t="shared" si="19"/>
        <v>0</v>
      </c>
      <c r="AP8" s="290">
        <v>202</v>
      </c>
      <c r="AQ8" s="315">
        <f t="shared" si="20"/>
        <v>327.03070257284168</v>
      </c>
      <c r="AR8" s="290">
        <v>293</v>
      </c>
      <c r="AS8" s="315">
        <f t="shared" si="21"/>
        <v>474.35641511803277</v>
      </c>
      <c r="AT8" s="45">
        <f t="shared" si="3"/>
        <v>495</v>
      </c>
      <c r="AU8" s="338">
        <f>IFERROR((AL8/AK8),0)</f>
        <v>0.87946614285714286</v>
      </c>
      <c r="AV8" s="338">
        <f t="shared" si="4"/>
        <v>801.38711769087445</v>
      </c>
      <c r="AW8" s="338">
        <f t="shared" si="22"/>
        <v>401.1332919168658</v>
      </c>
      <c r="AX8" s="1" t="s">
        <v>780</v>
      </c>
      <c r="AY8" s="1">
        <v>404</v>
      </c>
      <c r="AZ8" s="1">
        <v>342</v>
      </c>
      <c r="BA8" s="1">
        <v>0</v>
      </c>
      <c r="BB8" s="339">
        <f t="shared" ref="BB8:BB29" si="23">+L8+N8+P8+Z8+AB8+AD8+AN8+AP8+AR8+AY8+AZ8+BA8</f>
        <v>2489</v>
      </c>
      <c r="BC8" s="492" t="s">
        <v>781</v>
      </c>
    </row>
    <row r="9" spans="1:55" ht="31.5" customHeight="1" x14ac:dyDescent="0.25">
      <c r="A9" s="407"/>
      <c r="B9" s="409"/>
      <c r="C9" s="414"/>
      <c r="D9" s="504"/>
      <c r="E9" s="414"/>
      <c r="F9" s="440"/>
      <c r="G9" s="337">
        <v>120</v>
      </c>
      <c r="H9" s="26" t="s">
        <v>265</v>
      </c>
      <c r="I9" s="506"/>
      <c r="J9" s="506"/>
      <c r="K9" s="501"/>
      <c r="L9" s="290">
        <v>0</v>
      </c>
      <c r="M9" s="315">
        <f t="shared" si="6"/>
        <v>0</v>
      </c>
      <c r="N9" s="290">
        <v>0</v>
      </c>
      <c r="O9" s="315">
        <f t="shared" si="7"/>
        <v>0</v>
      </c>
      <c r="P9" s="290">
        <v>12</v>
      </c>
      <c r="Q9" s="315">
        <f t="shared" si="8"/>
        <v>0.1</v>
      </c>
      <c r="R9" s="45">
        <f t="shared" si="9"/>
        <v>12</v>
      </c>
      <c r="S9" s="485"/>
      <c r="T9" s="485"/>
      <c r="U9" s="485"/>
      <c r="V9" s="67" t="s">
        <v>782</v>
      </c>
      <c r="W9" s="506"/>
      <c r="X9" s="506"/>
      <c r="Y9" s="501"/>
      <c r="Z9" s="290">
        <v>14</v>
      </c>
      <c r="AA9" s="315">
        <f t="shared" si="12"/>
        <v>0.11666666666666667</v>
      </c>
      <c r="AB9" s="290">
        <v>21</v>
      </c>
      <c r="AC9" s="315">
        <f t="shared" si="13"/>
        <v>0.17499999999999999</v>
      </c>
      <c r="AD9" s="290">
        <v>4</v>
      </c>
      <c r="AE9" s="315">
        <f t="shared" si="14"/>
        <v>3.3333333333333333E-2</v>
      </c>
      <c r="AF9" s="45">
        <f t="shared" si="15"/>
        <v>39</v>
      </c>
      <c r="AG9" s="485"/>
      <c r="AH9" s="309">
        <f t="shared" si="16"/>
        <v>0.32500000000000001</v>
      </c>
      <c r="AI9" s="309">
        <f t="shared" si="17"/>
        <v>0.16250000000000001</v>
      </c>
      <c r="AJ9" s="308" t="s">
        <v>767</v>
      </c>
      <c r="AK9" s="506"/>
      <c r="AL9" s="312"/>
      <c r="AM9" s="501"/>
      <c r="AN9" s="290">
        <v>3</v>
      </c>
      <c r="AO9" s="315" t="s">
        <v>19</v>
      </c>
      <c r="AP9" s="290">
        <v>15</v>
      </c>
      <c r="AQ9" s="315">
        <f t="shared" si="20"/>
        <v>0</v>
      </c>
      <c r="AR9" s="290">
        <v>25</v>
      </c>
      <c r="AS9" s="315">
        <f t="shared" si="21"/>
        <v>0</v>
      </c>
      <c r="AT9" s="45">
        <f t="shared" si="3"/>
        <v>43</v>
      </c>
      <c r="AU9" s="338"/>
      <c r="AV9" s="338">
        <f t="shared" si="4"/>
        <v>0</v>
      </c>
      <c r="AW9" s="338">
        <f t="shared" si="22"/>
        <v>0</v>
      </c>
      <c r="AX9" s="308" t="s">
        <v>767</v>
      </c>
      <c r="AY9" s="1">
        <v>22</v>
      </c>
      <c r="AZ9" s="1">
        <v>6</v>
      </c>
      <c r="BA9" s="1">
        <v>0</v>
      </c>
      <c r="BB9" s="339">
        <f t="shared" si="23"/>
        <v>122</v>
      </c>
      <c r="BC9" s="494"/>
    </row>
    <row r="10" spans="1:55" ht="55.5" customHeight="1" x14ac:dyDescent="0.25">
      <c r="A10" s="407"/>
      <c r="B10" s="409"/>
      <c r="C10" s="412" t="str">
        <f>[1]SEGUIMIENTO!C107</f>
        <v>SB-PY1.6</v>
      </c>
      <c r="D10" s="532" t="str">
        <f>[1]SEGUIMIENTO!D107</f>
        <v>USCO saludable.</v>
      </c>
      <c r="E10" s="412">
        <f>[1]SEGUIMIENTO!E107</f>
        <v>301</v>
      </c>
      <c r="F10" s="438" t="s">
        <v>169</v>
      </c>
      <c r="G10" s="337">
        <v>450</v>
      </c>
      <c r="H10" s="296" t="s">
        <v>783</v>
      </c>
      <c r="I10" s="505">
        <v>185512732</v>
      </c>
      <c r="J10" s="505">
        <v>182647560</v>
      </c>
      <c r="K10" s="499">
        <f t="shared" si="5"/>
        <v>2865172</v>
      </c>
      <c r="L10" s="27"/>
      <c r="M10" s="315">
        <f t="shared" si="6"/>
        <v>0</v>
      </c>
      <c r="N10" s="27">
        <v>101</v>
      </c>
      <c r="O10" s="315">
        <f t="shared" si="7"/>
        <v>0.22444444444444445</v>
      </c>
      <c r="P10" s="27">
        <v>136</v>
      </c>
      <c r="Q10" s="315">
        <f t="shared" si="8"/>
        <v>0.30222222222222223</v>
      </c>
      <c r="R10" s="45">
        <f t="shared" si="9"/>
        <v>237</v>
      </c>
      <c r="S10" s="483">
        <f t="shared" si="0"/>
        <v>0.98455538889912952</v>
      </c>
      <c r="T10" s="309">
        <f t="shared" si="1"/>
        <v>0.52666666666666662</v>
      </c>
      <c r="U10" s="309">
        <f t="shared" si="10"/>
        <v>0.75561102778289801</v>
      </c>
      <c r="V10" s="30" t="s">
        <v>784</v>
      </c>
      <c r="W10" s="505">
        <v>140000000</v>
      </c>
      <c r="X10" s="505">
        <v>129922145</v>
      </c>
      <c r="Y10" s="499">
        <f t="shared" ref="Y10" si="24">W10-X10</f>
        <v>10077855</v>
      </c>
      <c r="Z10" s="27">
        <v>110</v>
      </c>
      <c r="AA10" s="315">
        <f t="shared" si="12"/>
        <v>0.24444444444444444</v>
      </c>
      <c r="AB10" s="27">
        <v>118</v>
      </c>
      <c r="AC10" s="315">
        <f t="shared" si="13"/>
        <v>0.26222222222222225</v>
      </c>
      <c r="AD10" s="27">
        <v>0</v>
      </c>
      <c r="AE10" s="315">
        <f t="shared" si="14"/>
        <v>0</v>
      </c>
      <c r="AF10" s="45">
        <f t="shared" si="15"/>
        <v>228</v>
      </c>
      <c r="AG10" s="483">
        <f t="shared" ref="AG10" si="25">IFERROR((X10/W10),0)</f>
        <v>0.92801532142857146</v>
      </c>
      <c r="AH10" s="309">
        <f>IFERROR((AF10/G10),0)</f>
        <v>0.50666666666666671</v>
      </c>
      <c r="AI10" s="309">
        <f t="shared" si="17"/>
        <v>0.71734099404761908</v>
      </c>
      <c r="AJ10" s="508" t="s">
        <v>771</v>
      </c>
      <c r="AK10" s="505">
        <v>140000000</v>
      </c>
      <c r="AL10" s="312">
        <v>177951220</v>
      </c>
      <c r="AM10" s="499">
        <f t="shared" ref="AM10" si="26">AK10-AL10</f>
        <v>-37951220</v>
      </c>
      <c r="AN10" s="27">
        <v>0</v>
      </c>
      <c r="AO10" s="315">
        <f t="shared" si="19"/>
        <v>0</v>
      </c>
      <c r="AP10" s="27">
        <v>124</v>
      </c>
      <c r="AQ10" s="315">
        <f t="shared" si="20"/>
        <v>164.1055985694635</v>
      </c>
      <c r="AR10" s="27">
        <v>140</v>
      </c>
      <c r="AS10" s="315">
        <f t="shared" si="21"/>
        <v>185.28051451391042</v>
      </c>
      <c r="AT10" s="45">
        <f t="shared" si="3"/>
        <v>264</v>
      </c>
      <c r="AU10" s="338">
        <f>IFERROR((AL10/AK10),0)</f>
        <v>1.2710801428571428</v>
      </c>
      <c r="AV10" s="338">
        <f t="shared" si="4"/>
        <v>349.38611308337391</v>
      </c>
      <c r="AW10" s="338">
        <f t="shared" si="22"/>
        <v>175.32859661311554</v>
      </c>
      <c r="AX10" s="510" t="s">
        <v>785</v>
      </c>
      <c r="AY10" s="27">
        <v>162</v>
      </c>
      <c r="AZ10" s="27">
        <v>140</v>
      </c>
      <c r="BA10" s="27">
        <v>0</v>
      </c>
      <c r="BB10" s="339">
        <f t="shared" si="23"/>
        <v>1031</v>
      </c>
      <c r="BC10" s="512" t="s">
        <v>786</v>
      </c>
    </row>
    <row r="11" spans="1:55" ht="48.75" customHeight="1" x14ac:dyDescent="0.25">
      <c r="A11" s="407"/>
      <c r="B11" s="409"/>
      <c r="C11" s="414"/>
      <c r="D11" s="533"/>
      <c r="E11" s="414"/>
      <c r="F11" s="440"/>
      <c r="G11" s="337">
        <v>9270</v>
      </c>
      <c r="H11" s="296" t="s">
        <v>268</v>
      </c>
      <c r="I11" s="506"/>
      <c r="J11" s="506"/>
      <c r="K11" s="501"/>
      <c r="L11" s="28"/>
      <c r="M11" s="315">
        <f t="shared" si="6"/>
        <v>0</v>
      </c>
      <c r="N11" s="28">
        <v>1521</v>
      </c>
      <c r="O11" s="315">
        <f t="shared" si="7"/>
        <v>0.16407766990291262</v>
      </c>
      <c r="P11" s="28">
        <v>1616</v>
      </c>
      <c r="Q11" s="315">
        <f t="shared" si="8"/>
        <v>0.17432578209277239</v>
      </c>
      <c r="R11" s="74">
        <f t="shared" si="9"/>
        <v>3137</v>
      </c>
      <c r="S11" s="485"/>
      <c r="T11" s="309">
        <f t="shared" si="1"/>
        <v>0.338403451995685</v>
      </c>
      <c r="U11" s="309">
        <f t="shared" si="10"/>
        <v>0.1692017259978425</v>
      </c>
      <c r="V11" s="67" t="s">
        <v>787</v>
      </c>
      <c r="W11" s="506"/>
      <c r="X11" s="506"/>
      <c r="Y11" s="501"/>
      <c r="Z11" s="28">
        <v>1727</v>
      </c>
      <c r="AA11" s="315">
        <f t="shared" si="12"/>
        <v>0.18629989212513484</v>
      </c>
      <c r="AB11" s="28">
        <v>2070</v>
      </c>
      <c r="AC11" s="315">
        <f t="shared" si="13"/>
        <v>0.22330097087378642</v>
      </c>
      <c r="AD11" s="28">
        <v>0</v>
      </c>
      <c r="AE11" s="315">
        <f t="shared" si="14"/>
        <v>0</v>
      </c>
      <c r="AF11" s="74">
        <f t="shared" si="15"/>
        <v>3797</v>
      </c>
      <c r="AG11" s="485"/>
      <c r="AH11" s="309">
        <f t="shared" si="16"/>
        <v>0.40960086299892123</v>
      </c>
      <c r="AI11" s="309">
        <f t="shared" si="17"/>
        <v>0.20480043149946062</v>
      </c>
      <c r="AJ11" s="509"/>
      <c r="AK11" s="506"/>
      <c r="AL11" s="312"/>
      <c r="AM11" s="501"/>
      <c r="AN11" s="28">
        <v>0</v>
      </c>
      <c r="AO11" s="315">
        <f t="shared" si="19"/>
        <v>0</v>
      </c>
      <c r="AP11" s="28">
        <v>1212</v>
      </c>
      <c r="AQ11" s="315">
        <f t="shared" si="20"/>
        <v>7163.0474976091809</v>
      </c>
      <c r="AR11" s="28">
        <v>1740</v>
      </c>
      <c r="AS11" s="315">
        <f t="shared" si="21"/>
        <v>10283.58304112209</v>
      </c>
      <c r="AT11" s="74">
        <f t="shared" si="3"/>
        <v>2952</v>
      </c>
      <c r="AU11" s="338"/>
      <c r="AV11" s="338">
        <f t="shared" si="4"/>
        <v>17446.630538731271</v>
      </c>
      <c r="AW11" s="338">
        <f t="shared" si="22"/>
        <v>8723.3152693656357</v>
      </c>
      <c r="AX11" s="511"/>
      <c r="AY11" s="27">
        <v>1954</v>
      </c>
      <c r="AZ11" s="27">
        <v>672</v>
      </c>
      <c r="BA11" s="27">
        <v>0</v>
      </c>
      <c r="BB11" s="339">
        <f t="shared" si="23"/>
        <v>12512</v>
      </c>
      <c r="BC11" s="513"/>
    </row>
    <row r="12" spans="1:55" ht="44.25" customHeight="1" x14ac:dyDescent="0.25">
      <c r="A12" s="407"/>
      <c r="B12" s="409"/>
      <c r="C12" s="412" t="str">
        <f>[1]SEGUIMIENTO!C108</f>
        <v>SB-PY1.7</v>
      </c>
      <c r="D12" s="503" t="str">
        <f>[1]SEGUIMIENTO!D108</f>
        <v>Proyecto de Inclusión y atención de la población con diversidad funcional en la USCO.</v>
      </c>
      <c r="E12" s="412">
        <f>[1]SEGUIMIENTO!E108</f>
        <v>301</v>
      </c>
      <c r="F12" s="438" t="s">
        <v>255</v>
      </c>
      <c r="G12" s="337">
        <v>50</v>
      </c>
      <c r="H12" s="26" t="s">
        <v>271</v>
      </c>
      <c r="I12" s="505">
        <v>29452544</v>
      </c>
      <c r="J12" s="505">
        <v>29452544</v>
      </c>
      <c r="K12" s="499">
        <f t="shared" si="5"/>
        <v>0</v>
      </c>
      <c r="L12" s="27"/>
      <c r="M12" s="315">
        <f t="shared" si="6"/>
        <v>0</v>
      </c>
      <c r="N12" s="27">
        <v>20</v>
      </c>
      <c r="O12" s="315">
        <f t="shared" si="7"/>
        <v>0.4</v>
      </c>
      <c r="P12" s="27">
        <v>11</v>
      </c>
      <c r="Q12" s="315">
        <f t="shared" si="8"/>
        <v>0.22</v>
      </c>
      <c r="R12" s="45">
        <f t="shared" si="9"/>
        <v>31</v>
      </c>
      <c r="S12" s="483">
        <f t="shared" si="0"/>
        <v>1</v>
      </c>
      <c r="T12" s="309">
        <f t="shared" si="1"/>
        <v>0.62</v>
      </c>
      <c r="U12" s="309">
        <f t="shared" si="10"/>
        <v>0.81</v>
      </c>
      <c r="V12" s="308" t="s">
        <v>779</v>
      </c>
      <c r="W12" s="505">
        <v>29955000</v>
      </c>
      <c r="X12" s="505">
        <v>21034396</v>
      </c>
      <c r="Y12" s="499">
        <f t="shared" ref="Y12" si="27">W12-X12</f>
        <v>8920604</v>
      </c>
      <c r="Z12" s="27">
        <v>5</v>
      </c>
      <c r="AA12" s="315">
        <f t="shared" si="12"/>
        <v>0.1</v>
      </c>
      <c r="AB12" s="27">
        <v>0</v>
      </c>
      <c r="AC12" s="315">
        <f t="shared" si="13"/>
        <v>0</v>
      </c>
      <c r="AD12" s="27">
        <v>0</v>
      </c>
      <c r="AE12" s="315">
        <f t="shared" si="14"/>
        <v>0</v>
      </c>
      <c r="AF12" s="74">
        <f t="shared" si="15"/>
        <v>5</v>
      </c>
      <c r="AG12" s="483">
        <f t="shared" ref="AG12" si="28">IFERROR((X12/W12),0)</f>
        <v>0.70219983308295775</v>
      </c>
      <c r="AH12" s="309">
        <f t="shared" si="16"/>
        <v>0.1</v>
      </c>
      <c r="AI12" s="309">
        <f t="shared" si="17"/>
        <v>0.40109991654147886</v>
      </c>
      <c r="AJ12" s="308" t="s">
        <v>779</v>
      </c>
      <c r="AK12" s="505">
        <v>29955000</v>
      </c>
      <c r="AL12" s="312">
        <v>29452544</v>
      </c>
      <c r="AM12" s="499">
        <f t="shared" ref="AM12" si="29">AK12-AL12</f>
        <v>502456</v>
      </c>
      <c r="AN12" s="27">
        <v>0</v>
      </c>
      <c r="AO12" s="315">
        <f t="shared" si="19"/>
        <v>0</v>
      </c>
      <c r="AP12" s="27">
        <v>5</v>
      </c>
      <c r="AQ12" s="315">
        <f t="shared" si="20"/>
        <v>6.1728395061728394</v>
      </c>
      <c r="AR12" s="27">
        <v>0</v>
      </c>
      <c r="AS12" s="315">
        <f t="shared" si="21"/>
        <v>0</v>
      </c>
      <c r="AT12" s="74">
        <f t="shared" si="3"/>
        <v>5</v>
      </c>
      <c r="AU12" s="338">
        <f>IFERROR((AL12/AK12),0)</f>
        <v>0.98322630612585549</v>
      </c>
      <c r="AV12" s="338">
        <f t="shared" si="4"/>
        <v>6.1728395061728394</v>
      </c>
      <c r="AW12" s="338">
        <f t="shared" si="22"/>
        <v>3.5780329061493474</v>
      </c>
      <c r="AX12" s="82" t="s">
        <v>788</v>
      </c>
      <c r="AY12" s="82">
        <v>0</v>
      </c>
      <c r="AZ12" s="82">
        <v>0</v>
      </c>
      <c r="BA12" s="82">
        <v>0</v>
      </c>
      <c r="BB12" s="339">
        <f t="shared" si="23"/>
        <v>41</v>
      </c>
      <c r="BC12" s="308" t="s">
        <v>789</v>
      </c>
    </row>
    <row r="13" spans="1:55" ht="45.75" customHeight="1" x14ac:dyDescent="0.25">
      <c r="A13" s="407"/>
      <c r="B13" s="409"/>
      <c r="C13" s="413"/>
      <c r="D13" s="531"/>
      <c r="E13" s="413"/>
      <c r="F13" s="439"/>
      <c r="G13" s="337">
        <v>50</v>
      </c>
      <c r="H13" s="26" t="s">
        <v>272</v>
      </c>
      <c r="I13" s="507"/>
      <c r="J13" s="507"/>
      <c r="K13" s="500"/>
      <c r="L13" s="27"/>
      <c r="M13" s="315">
        <f t="shared" si="6"/>
        <v>0</v>
      </c>
      <c r="N13" s="27">
        <v>12</v>
      </c>
      <c r="O13" s="315">
        <f t="shared" si="7"/>
        <v>0.24</v>
      </c>
      <c r="P13" s="27">
        <v>3</v>
      </c>
      <c r="Q13" s="315">
        <f t="shared" si="8"/>
        <v>0.06</v>
      </c>
      <c r="R13" s="45">
        <f t="shared" si="9"/>
        <v>15</v>
      </c>
      <c r="S13" s="484"/>
      <c r="T13" s="309">
        <f t="shared" si="1"/>
        <v>0.3</v>
      </c>
      <c r="U13" s="309">
        <f t="shared" si="10"/>
        <v>0.15</v>
      </c>
      <c r="V13" s="67" t="s">
        <v>782</v>
      </c>
      <c r="W13" s="507"/>
      <c r="X13" s="507"/>
      <c r="Y13" s="500"/>
      <c r="Z13" s="27">
        <v>0</v>
      </c>
      <c r="AA13" s="315">
        <f t="shared" si="12"/>
        <v>0</v>
      </c>
      <c r="AB13" s="27">
        <v>0</v>
      </c>
      <c r="AC13" s="315">
        <f t="shared" si="13"/>
        <v>0</v>
      </c>
      <c r="AD13" s="27">
        <v>0</v>
      </c>
      <c r="AE13" s="315">
        <f t="shared" si="14"/>
        <v>0</v>
      </c>
      <c r="AF13" s="74">
        <f t="shared" si="15"/>
        <v>0</v>
      </c>
      <c r="AG13" s="484"/>
      <c r="AH13" s="309">
        <f t="shared" si="16"/>
        <v>0</v>
      </c>
      <c r="AI13" s="309">
        <f t="shared" si="17"/>
        <v>0</v>
      </c>
      <c r="AJ13" s="67" t="s">
        <v>782</v>
      </c>
      <c r="AK13" s="507"/>
      <c r="AL13" s="312"/>
      <c r="AM13" s="500"/>
      <c r="AN13" s="27">
        <v>0</v>
      </c>
      <c r="AO13" s="315">
        <f t="shared" si="19"/>
        <v>0</v>
      </c>
      <c r="AP13" s="27">
        <v>15</v>
      </c>
      <c r="AQ13" s="315">
        <f t="shared" si="20"/>
        <v>100</v>
      </c>
      <c r="AR13" s="27">
        <v>8</v>
      </c>
      <c r="AS13" s="315">
        <f t="shared" si="21"/>
        <v>53.333333333333336</v>
      </c>
      <c r="AT13" s="74">
        <f t="shared" si="3"/>
        <v>23</v>
      </c>
      <c r="AU13" s="338"/>
      <c r="AV13" s="338">
        <f t="shared" si="4"/>
        <v>153.33333333333334</v>
      </c>
      <c r="AW13" s="338">
        <f t="shared" si="22"/>
        <v>76.666666666666671</v>
      </c>
      <c r="AX13" s="82"/>
      <c r="AY13" s="82">
        <v>2</v>
      </c>
      <c r="AZ13" s="82">
        <v>3</v>
      </c>
      <c r="BA13" s="82">
        <v>0</v>
      </c>
      <c r="BB13" s="339">
        <f t="shared" si="23"/>
        <v>43</v>
      </c>
      <c r="BC13" s="67" t="s">
        <v>790</v>
      </c>
    </row>
    <row r="14" spans="1:55" ht="41.25" customHeight="1" x14ac:dyDescent="0.25">
      <c r="A14" s="407"/>
      <c r="B14" s="409"/>
      <c r="C14" s="413"/>
      <c r="D14" s="531"/>
      <c r="E14" s="413"/>
      <c r="F14" s="439"/>
      <c r="G14" s="337">
        <v>50</v>
      </c>
      <c r="H14" s="26" t="s">
        <v>273</v>
      </c>
      <c r="I14" s="507"/>
      <c r="J14" s="507"/>
      <c r="K14" s="500"/>
      <c r="L14" s="27"/>
      <c r="M14" s="315">
        <f t="shared" si="6"/>
        <v>0</v>
      </c>
      <c r="N14" s="27">
        <v>3</v>
      </c>
      <c r="O14" s="315">
        <f t="shared" si="7"/>
        <v>0.06</v>
      </c>
      <c r="P14" s="27">
        <v>5</v>
      </c>
      <c r="Q14" s="315">
        <f t="shared" si="8"/>
        <v>0.1</v>
      </c>
      <c r="R14" s="45">
        <f t="shared" si="9"/>
        <v>8</v>
      </c>
      <c r="S14" s="484"/>
      <c r="T14" s="309">
        <f t="shared" si="1"/>
        <v>0.16</v>
      </c>
      <c r="U14" s="309">
        <f t="shared" si="10"/>
        <v>0.08</v>
      </c>
      <c r="V14" s="30" t="s">
        <v>784</v>
      </c>
      <c r="W14" s="507"/>
      <c r="X14" s="507"/>
      <c r="Y14" s="500"/>
      <c r="Z14" s="27">
        <v>9</v>
      </c>
      <c r="AA14" s="315">
        <f t="shared" si="12"/>
        <v>0.18</v>
      </c>
      <c r="AB14" s="27">
        <v>10</v>
      </c>
      <c r="AC14" s="315">
        <f t="shared" si="13"/>
        <v>0.2</v>
      </c>
      <c r="AD14" s="27">
        <v>0</v>
      </c>
      <c r="AE14" s="315">
        <f t="shared" si="14"/>
        <v>0</v>
      </c>
      <c r="AF14" s="74">
        <f t="shared" si="15"/>
        <v>19</v>
      </c>
      <c r="AG14" s="484"/>
      <c r="AH14" s="309">
        <f t="shared" si="16"/>
        <v>0.38</v>
      </c>
      <c r="AI14" s="309">
        <f t="shared" si="17"/>
        <v>0.19</v>
      </c>
      <c r="AJ14" s="30" t="s">
        <v>784</v>
      </c>
      <c r="AK14" s="507"/>
      <c r="AL14" s="312"/>
      <c r="AM14" s="500"/>
      <c r="AN14" s="27">
        <v>0</v>
      </c>
      <c r="AO14" s="315">
        <f t="shared" si="19"/>
        <v>0</v>
      </c>
      <c r="AP14" s="27">
        <v>10</v>
      </c>
      <c r="AQ14" s="315">
        <f t="shared" si="20"/>
        <v>125</v>
      </c>
      <c r="AR14" s="27">
        <v>10</v>
      </c>
      <c r="AS14" s="315">
        <f t="shared" si="21"/>
        <v>125</v>
      </c>
      <c r="AT14" s="74">
        <f t="shared" si="3"/>
        <v>20</v>
      </c>
      <c r="AU14" s="338"/>
      <c r="AV14" s="338">
        <f t="shared" si="4"/>
        <v>250</v>
      </c>
      <c r="AW14" s="338">
        <f t="shared" si="22"/>
        <v>125</v>
      </c>
      <c r="AX14" s="82" t="s">
        <v>784</v>
      </c>
      <c r="AY14" s="82">
        <v>5</v>
      </c>
      <c r="AZ14" s="82">
        <v>2</v>
      </c>
      <c r="BA14" s="82">
        <v>0</v>
      </c>
      <c r="BB14" s="339">
        <f t="shared" si="23"/>
        <v>54</v>
      </c>
      <c r="BC14" s="67" t="s">
        <v>790</v>
      </c>
    </row>
    <row r="15" spans="1:55" ht="57" customHeight="1" x14ac:dyDescent="0.25">
      <c r="A15" s="407"/>
      <c r="B15" s="409"/>
      <c r="C15" s="414"/>
      <c r="D15" s="504"/>
      <c r="E15" s="414"/>
      <c r="F15" s="440"/>
      <c r="G15" s="337">
        <v>12</v>
      </c>
      <c r="H15" s="31" t="s">
        <v>274</v>
      </c>
      <c r="I15" s="506"/>
      <c r="J15" s="506"/>
      <c r="K15" s="501"/>
      <c r="L15" s="27"/>
      <c r="M15" s="315">
        <f t="shared" si="6"/>
        <v>0</v>
      </c>
      <c r="N15" s="27">
        <v>4</v>
      </c>
      <c r="O15" s="315">
        <f t="shared" si="7"/>
        <v>0.33333333333333331</v>
      </c>
      <c r="P15" s="27">
        <v>2</v>
      </c>
      <c r="Q15" s="315">
        <f t="shared" si="8"/>
        <v>0.16666666666666666</v>
      </c>
      <c r="R15" s="29">
        <f t="shared" si="9"/>
        <v>6</v>
      </c>
      <c r="S15" s="485"/>
      <c r="T15" s="309">
        <f t="shared" si="1"/>
        <v>0.5</v>
      </c>
      <c r="U15" s="309">
        <f t="shared" si="10"/>
        <v>0.25</v>
      </c>
      <c r="V15" s="67" t="s">
        <v>787</v>
      </c>
      <c r="W15" s="506"/>
      <c r="X15" s="506"/>
      <c r="Y15" s="501"/>
      <c r="Z15" s="27">
        <v>2</v>
      </c>
      <c r="AA15" s="315">
        <f t="shared" si="12"/>
        <v>0.16666666666666666</v>
      </c>
      <c r="AB15" s="27">
        <v>3</v>
      </c>
      <c r="AC15" s="315">
        <f t="shared" si="13"/>
        <v>0.25</v>
      </c>
      <c r="AD15" s="27">
        <v>0</v>
      </c>
      <c r="AE15" s="315">
        <f t="shared" si="14"/>
        <v>0</v>
      </c>
      <c r="AF15" s="29">
        <f t="shared" si="15"/>
        <v>5</v>
      </c>
      <c r="AG15" s="485"/>
      <c r="AH15" s="309">
        <f t="shared" si="16"/>
        <v>0.41666666666666669</v>
      </c>
      <c r="AI15" s="309">
        <f t="shared" si="17"/>
        <v>0.20833333333333334</v>
      </c>
      <c r="AJ15" s="67" t="s">
        <v>787</v>
      </c>
      <c r="AK15" s="506"/>
      <c r="AL15" s="312"/>
      <c r="AM15" s="501"/>
      <c r="AN15" s="27">
        <v>0</v>
      </c>
      <c r="AO15" s="315">
        <f t="shared" si="19"/>
        <v>0</v>
      </c>
      <c r="AP15" s="27">
        <v>0</v>
      </c>
      <c r="AQ15" s="315">
        <f t="shared" si="20"/>
        <v>0</v>
      </c>
      <c r="AR15" s="27">
        <v>5</v>
      </c>
      <c r="AS15" s="315">
        <f t="shared" si="21"/>
        <v>20</v>
      </c>
      <c r="AT15" s="29">
        <f t="shared" si="3"/>
        <v>5</v>
      </c>
      <c r="AU15" s="338"/>
      <c r="AV15" s="338">
        <f t="shared" si="4"/>
        <v>20</v>
      </c>
      <c r="AW15" s="338">
        <f t="shared" si="22"/>
        <v>10</v>
      </c>
      <c r="AX15" s="82" t="s">
        <v>787</v>
      </c>
      <c r="AY15" s="1">
        <v>0</v>
      </c>
      <c r="AZ15" s="1">
        <v>0</v>
      </c>
      <c r="BA15" s="1">
        <v>0</v>
      </c>
      <c r="BB15" s="339">
        <f t="shared" si="23"/>
        <v>16</v>
      </c>
      <c r="BC15" s="67" t="s">
        <v>791</v>
      </c>
    </row>
    <row r="16" spans="1:55" ht="100.5" customHeight="1" x14ac:dyDescent="0.25">
      <c r="A16" s="407"/>
      <c r="B16" s="495" t="s">
        <v>275</v>
      </c>
      <c r="C16" s="412" t="str">
        <f>[1]SEGUIMIENTO!C110</f>
        <v>SB-PY2.1</v>
      </c>
      <c r="D16" s="503" t="str">
        <f>[1]SEGUIMIENTO!D110</f>
        <v>Actividades deportivas de todas las Sedes.</v>
      </c>
      <c r="E16" s="412">
        <f>[1]SEGUIMIENTO!E110</f>
        <v>301</v>
      </c>
      <c r="F16" s="296" t="s">
        <v>255</v>
      </c>
      <c r="G16" s="337">
        <v>9920</v>
      </c>
      <c r="H16" s="296" t="s">
        <v>268</v>
      </c>
      <c r="I16" s="505">
        <v>521176980</v>
      </c>
      <c r="J16" s="505">
        <v>519488949</v>
      </c>
      <c r="K16" s="499">
        <f t="shared" si="5"/>
        <v>1688031</v>
      </c>
      <c r="L16" s="27">
        <v>0</v>
      </c>
      <c r="M16" s="315">
        <f t="shared" si="6"/>
        <v>0</v>
      </c>
      <c r="N16" s="27">
        <v>0</v>
      </c>
      <c r="O16" s="315">
        <f t="shared" si="7"/>
        <v>0</v>
      </c>
      <c r="P16" s="28">
        <v>0</v>
      </c>
      <c r="Q16" s="315">
        <f t="shared" si="8"/>
        <v>0</v>
      </c>
      <c r="R16" s="29">
        <f>+L16+N16+P16</f>
        <v>0</v>
      </c>
      <c r="S16" s="483">
        <f t="shared" ref="S16" si="30">IFERROR((J16/I16),0)</f>
        <v>0.99676111749985585</v>
      </c>
      <c r="T16" s="309">
        <f t="shared" si="1"/>
        <v>0</v>
      </c>
      <c r="U16" s="309">
        <f t="shared" si="10"/>
        <v>0.49838055874992793</v>
      </c>
      <c r="V16" s="300" t="s">
        <v>792</v>
      </c>
      <c r="W16" s="505">
        <v>497028160</v>
      </c>
      <c r="X16" s="505">
        <v>209845541</v>
      </c>
      <c r="Y16" s="499">
        <f t="shared" ref="Y16" si="31">W16-X16</f>
        <v>287182619</v>
      </c>
      <c r="Z16" s="27">
        <v>0</v>
      </c>
      <c r="AA16" s="315">
        <f t="shared" si="12"/>
        <v>0</v>
      </c>
      <c r="AB16" s="27">
        <v>0</v>
      </c>
      <c r="AC16" s="315">
        <f t="shared" si="13"/>
        <v>0</v>
      </c>
      <c r="AD16" s="28">
        <v>8226</v>
      </c>
      <c r="AE16" s="315">
        <f t="shared" si="14"/>
        <v>0.82923387096774193</v>
      </c>
      <c r="AF16" s="29">
        <f>+Z16+AB16+AD16</f>
        <v>8226</v>
      </c>
      <c r="AG16" s="483">
        <f t="shared" ref="AG16" si="32">IFERROR((X16/W16),0)</f>
        <v>0.42220050670770848</v>
      </c>
      <c r="AH16" s="309">
        <f t="shared" si="16"/>
        <v>0.82923387096774193</v>
      </c>
      <c r="AI16" s="309">
        <f t="shared" si="17"/>
        <v>0.6257171888377252</v>
      </c>
      <c r="AJ16" s="300" t="s">
        <v>792</v>
      </c>
      <c r="AK16" s="505">
        <v>497028160</v>
      </c>
      <c r="AL16" s="312">
        <v>434042517</v>
      </c>
      <c r="AM16" s="499">
        <f t="shared" ref="AM16" si="33">AK16-AL16</f>
        <v>62985643</v>
      </c>
      <c r="AN16" s="27">
        <v>0</v>
      </c>
      <c r="AO16" s="315">
        <v>0</v>
      </c>
      <c r="AP16" s="27">
        <v>0</v>
      </c>
      <c r="AQ16" s="315">
        <f t="shared" si="20"/>
        <v>0</v>
      </c>
      <c r="AR16" s="28">
        <v>0</v>
      </c>
      <c r="AS16" s="315">
        <f t="shared" si="21"/>
        <v>0</v>
      </c>
      <c r="AT16" s="29">
        <f t="shared" si="3"/>
        <v>0</v>
      </c>
      <c r="AU16" s="338">
        <f>IFERROR((AL16/AK16),0)</f>
        <v>0.87327550414849731</v>
      </c>
      <c r="AV16" s="338">
        <f t="shared" si="4"/>
        <v>0</v>
      </c>
      <c r="AW16" s="338">
        <f t="shared" si="22"/>
        <v>0.43663775207424865</v>
      </c>
      <c r="AX16" s="301" t="s">
        <v>793</v>
      </c>
      <c r="AY16" s="301">
        <v>0</v>
      </c>
      <c r="AZ16" s="301">
        <v>0</v>
      </c>
      <c r="BA16" s="301">
        <v>4799</v>
      </c>
      <c r="BB16" s="339">
        <f t="shared" si="23"/>
        <v>13025</v>
      </c>
      <c r="BC16" s="300" t="s">
        <v>794</v>
      </c>
    </row>
    <row r="17" spans="1:55" ht="102" customHeight="1" x14ac:dyDescent="0.25">
      <c r="A17" s="407"/>
      <c r="B17" s="502"/>
      <c r="C17" s="414"/>
      <c r="D17" s="504"/>
      <c r="E17" s="414"/>
      <c r="F17" s="296" t="s">
        <v>255</v>
      </c>
      <c r="G17" s="343">
        <v>217</v>
      </c>
      <c r="H17" s="296" t="s">
        <v>278</v>
      </c>
      <c r="I17" s="506"/>
      <c r="J17" s="506"/>
      <c r="K17" s="501"/>
      <c r="L17" s="290">
        <v>3</v>
      </c>
      <c r="M17" s="315">
        <f t="shared" si="6"/>
        <v>1.3824884792626729E-2</v>
      </c>
      <c r="N17" s="290">
        <v>40</v>
      </c>
      <c r="O17" s="315">
        <f t="shared" si="7"/>
        <v>0.18433179723502305</v>
      </c>
      <c r="P17" s="290">
        <v>57</v>
      </c>
      <c r="Q17" s="315">
        <f t="shared" si="8"/>
        <v>0.26267281105990781</v>
      </c>
      <c r="R17" s="29">
        <f>+L17+N17+P17</f>
        <v>100</v>
      </c>
      <c r="S17" s="485"/>
      <c r="T17" s="309">
        <f t="shared" si="1"/>
        <v>0.46082949308755761</v>
      </c>
      <c r="U17" s="309">
        <f t="shared" si="10"/>
        <v>0.2304147465437788</v>
      </c>
      <c r="V17" s="308" t="s">
        <v>795</v>
      </c>
      <c r="W17" s="506"/>
      <c r="X17" s="506"/>
      <c r="Y17" s="501"/>
      <c r="Z17" s="290">
        <v>4</v>
      </c>
      <c r="AA17" s="315">
        <f t="shared" si="12"/>
        <v>1.8433179723502304E-2</v>
      </c>
      <c r="AB17" s="290">
        <v>17</v>
      </c>
      <c r="AC17" s="315">
        <f t="shared" si="13"/>
        <v>7.8341013824884786E-2</v>
      </c>
      <c r="AD17" s="290">
        <v>4</v>
      </c>
      <c r="AE17" s="315">
        <f t="shared" si="14"/>
        <v>1.8433179723502304E-2</v>
      </c>
      <c r="AF17" s="29">
        <f>+Z17+AB17+AD17</f>
        <v>25</v>
      </c>
      <c r="AG17" s="485"/>
      <c r="AH17" s="309">
        <f t="shared" si="16"/>
        <v>0.1152073732718894</v>
      </c>
      <c r="AI17" s="309">
        <f t="shared" si="17"/>
        <v>5.7603686635944701E-2</v>
      </c>
      <c r="AJ17" s="308" t="s">
        <v>795</v>
      </c>
      <c r="AK17" s="506"/>
      <c r="AL17" s="312"/>
      <c r="AM17" s="501"/>
      <c r="AN17" s="290">
        <v>2</v>
      </c>
      <c r="AO17" s="315">
        <f t="shared" si="19"/>
        <v>8.68</v>
      </c>
      <c r="AP17" s="290">
        <v>18</v>
      </c>
      <c r="AQ17" s="315">
        <f t="shared" si="20"/>
        <v>78.12</v>
      </c>
      <c r="AR17" s="290">
        <v>28</v>
      </c>
      <c r="AS17" s="315">
        <f t="shared" si="21"/>
        <v>121.52</v>
      </c>
      <c r="AT17" s="29">
        <f t="shared" si="3"/>
        <v>48</v>
      </c>
      <c r="AU17" s="338"/>
      <c r="AV17" s="338">
        <f t="shared" si="4"/>
        <v>208.32</v>
      </c>
      <c r="AW17" s="338">
        <f t="shared" si="22"/>
        <v>104.16</v>
      </c>
      <c r="AX17" s="344" t="s">
        <v>796</v>
      </c>
      <c r="AY17" s="290">
        <v>25</v>
      </c>
      <c r="AZ17" s="290">
        <v>14</v>
      </c>
      <c r="BA17" s="290">
        <v>1</v>
      </c>
      <c r="BB17" s="339">
        <f t="shared" si="23"/>
        <v>213</v>
      </c>
      <c r="BC17" s="308" t="s">
        <v>797</v>
      </c>
    </row>
    <row r="18" spans="1:55" ht="38.25" customHeight="1" x14ac:dyDescent="0.25">
      <c r="A18" s="407"/>
      <c r="B18" s="495" t="s">
        <v>279</v>
      </c>
      <c r="C18" s="412" t="str">
        <f>[1]SEGUIMIENTO!C112</f>
        <v>SB-PY3.1</v>
      </c>
      <c r="D18" s="26" t="s">
        <v>281</v>
      </c>
      <c r="E18" s="408">
        <v>301</v>
      </c>
      <c r="F18" s="438" t="s">
        <v>798</v>
      </c>
      <c r="G18" s="343">
        <v>219</v>
      </c>
      <c r="H18" s="296" t="s">
        <v>116</v>
      </c>
      <c r="I18" s="416">
        <v>443652606</v>
      </c>
      <c r="J18" s="416">
        <v>436406931</v>
      </c>
      <c r="K18" s="536">
        <f t="shared" si="5"/>
        <v>7245675</v>
      </c>
      <c r="L18" s="290">
        <v>5</v>
      </c>
      <c r="M18" s="315">
        <f t="shared" si="6"/>
        <v>2.2831050228310501E-2</v>
      </c>
      <c r="N18" s="290">
        <v>45</v>
      </c>
      <c r="O18" s="315">
        <f t="shared" si="7"/>
        <v>0.20547945205479451</v>
      </c>
      <c r="P18" s="290">
        <v>57</v>
      </c>
      <c r="Q18" s="315">
        <f t="shared" si="8"/>
        <v>0.26027397260273971</v>
      </c>
      <c r="R18" s="29">
        <f>+L18+N18+P18</f>
        <v>107</v>
      </c>
      <c r="S18" s="483">
        <f t="shared" ref="S18:S30" si="34">IFERROR((J18/I18),0)</f>
        <v>0.98366813380106688</v>
      </c>
      <c r="T18" s="309">
        <f t="shared" si="1"/>
        <v>0.48858447488584472</v>
      </c>
      <c r="U18" s="309">
        <f t="shared" si="10"/>
        <v>0.73612630434345583</v>
      </c>
      <c r="V18" s="79" t="s">
        <v>799</v>
      </c>
      <c r="W18" s="416">
        <v>416048971</v>
      </c>
      <c r="X18" s="416">
        <v>237727685</v>
      </c>
      <c r="Y18" s="489">
        <f t="shared" ref="Y18" si="35">W18-X18</f>
        <v>178321286</v>
      </c>
      <c r="Z18" s="290">
        <v>45</v>
      </c>
      <c r="AA18" s="315">
        <f t="shared" si="12"/>
        <v>0.20547945205479451</v>
      </c>
      <c r="AB18" s="290">
        <v>67</v>
      </c>
      <c r="AC18" s="315">
        <f t="shared" si="13"/>
        <v>0.30593607305936071</v>
      </c>
      <c r="AD18" s="290">
        <v>20</v>
      </c>
      <c r="AE18" s="315">
        <f t="shared" si="14"/>
        <v>9.1324200913242004E-2</v>
      </c>
      <c r="AF18" s="29">
        <f>+Z18+AB18+AD18</f>
        <v>132</v>
      </c>
      <c r="AG18" s="483">
        <f t="shared" ref="AG18" si="36">IFERROR((X18/W18),0)</f>
        <v>0.57139351751935952</v>
      </c>
      <c r="AH18" s="309">
        <f t="shared" si="16"/>
        <v>0.60273972602739723</v>
      </c>
      <c r="AI18" s="309">
        <f t="shared" si="17"/>
        <v>0.58706662177337843</v>
      </c>
      <c r="AJ18" s="79" t="s">
        <v>799</v>
      </c>
      <c r="AK18" s="416">
        <v>416048971</v>
      </c>
      <c r="AL18" s="416">
        <v>382457971</v>
      </c>
      <c r="AM18" s="489">
        <f t="shared" ref="AM18" si="37">AK18-AL18</f>
        <v>33591000</v>
      </c>
      <c r="AN18" s="290">
        <v>16</v>
      </c>
      <c r="AO18" s="315">
        <f t="shared" si="19"/>
        <v>21.735400440920596</v>
      </c>
      <c r="AP18" s="290">
        <v>51</v>
      </c>
      <c r="AQ18" s="315">
        <f t="shared" si="20"/>
        <v>69.281588905434404</v>
      </c>
      <c r="AR18" s="290">
        <v>81</v>
      </c>
      <c r="AS18" s="315">
        <f t="shared" si="21"/>
        <v>110.03546473216052</v>
      </c>
      <c r="AT18" s="29">
        <f t="shared" si="3"/>
        <v>148</v>
      </c>
      <c r="AU18" s="338">
        <f>IFERROR((AL18/AK18),0)</f>
        <v>0.91926190823339404</v>
      </c>
      <c r="AV18" s="338">
        <f t="shared" si="4"/>
        <v>201.05245407851552</v>
      </c>
      <c r="AW18" s="338">
        <f t="shared" si="22"/>
        <v>100.98585799337445</v>
      </c>
      <c r="AX18" s="492" t="s">
        <v>800</v>
      </c>
      <c r="AY18" s="1">
        <v>52</v>
      </c>
      <c r="AZ18" s="1">
        <v>59</v>
      </c>
      <c r="BA18" s="1">
        <v>22</v>
      </c>
      <c r="BB18" s="339">
        <f t="shared" si="23"/>
        <v>520</v>
      </c>
      <c r="BC18" s="434" t="s">
        <v>801</v>
      </c>
    </row>
    <row r="19" spans="1:55" ht="15.75" customHeight="1" x14ac:dyDescent="0.25">
      <c r="A19" s="407"/>
      <c r="B19" s="496"/>
      <c r="C19" s="413"/>
      <c r="D19" s="26" t="s">
        <v>601</v>
      </c>
      <c r="E19" s="409"/>
      <c r="F19" s="439"/>
      <c r="G19" s="343">
        <v>16</v>
      </c>
      <c r="H19" s="296" t="s">
        <v>282</v>
      </c>
      <c r="I19" s="417"/>
      <c r="J19" s="417"/>
      <c r="K19" s="536"/>
      <c r="L19" s="290">
        <v>0</v>
      </c>
      <c r="M19" s="315">
        <f t="shared" si="6"/>
        <v>0</v>
      </c>
      <c r="N19" s="290">
        <v>10</v>
      </c>
      <c r="O19" s="315">
        <f t="shared" si="7"/>
        <v>0.625</v>
      </c>
      <c r="P19" s="290">
        <v>11</v>
      </c>
      <c r="Q19" s="315">
        <f t="shared" si="8"/>
        <v>0.6875</v>
      </c>
      <c r="R19" s="29">
        <f t="shared" ref="R19:R28" si="38">+L19+N19+P19</f>
        <v>21</v>
      </c>
      <c r="S19" s="484"/>
      <c r="T19" s="309">
        <f t="shared" si="1"/>
        <v>1.3125</v>
      </c>
      <c r="U19" s="309">
        <f t="shared" si="10"/>
        <v>0.65625</v>
      </c>
      <c r="V19" s="308" t="s">
        <v>802</v>
      </c>
      <c r="W19" s="417"/>
      <c r="X19" s="417"/>
      <c r="Y19" s="490"/>
      <c r="Z19" s="290">
        <v>14</v>
      </c>
      <c r="AA19" s="315">
        <f t="shared" si="12"/>
        <v>0.875</v>
      </c>
      <c r="AB19" s="290">
        <v>15</v>
      </c>
      <c r="AC19" s="315">
        <f t="shared" si="13"/>
        <v>0.9375</v>
      </c>
      <c r="AD19" s="290">
        <v>16</v>
      </c>
      <c r="AE19" s="315">
        <f t="shared" si="14"/>
        <v>1</v>
      </c>
      <c r="AF19" s="29">
        <v>16</v>
      </c>
      <c r="AG19" s="484"/>
      <c r="AH19" s="309">
        <f t="shared" si="16"/>
        <v>1</v>
      </c>
      <c r="AI19" s="309">
        <f t="shared" si="17"/>
        <v>0.5</v>
      </c>
      <c r="AJ19" s="308" t="s">
        <v>802</v>
      </c>
      <c r="AK19" s="417"/>
      <c r="AL19" s="417"/>
      <c r="AM19" s="490"/>
      <c r="AN19" s="290">
        <v>11</v>
      </c>
      <c r="AO19" s="315">
        <f t="shared" si="19"/>
        <v>16.761904761904763</v>
      </c>
      <c r="AP19" s="290">
        <v>11</v>
      </c>
      <c r="AQ19" s="315">
        <f t="shared" si="20"/>
        <v>16.761904761904763</v>
      </c>
      <c r="AR19" s="290">
        <v>11</v>
      </c>
      <c r="AS19" s="315">
        <f t="shared" si="21"/>
        <v>16.761904761904763</v>
      </c>
      <c r="AT19" s="29">
        <f t="shared" si="3"/>
        <v>33</v>
      </c>
      <c r="AU19" s="338">
        <f>IFERROR((AL19/AK19),0)</f>
        <v>0</v>
      </c>
      <c r="AV19" s="338">
        <f t="shared" si="4"/>
        <v>50.285714285714285</v>
      </c>
      <c r="AW19" s="338">
        <f>(AU19+AV19)/2</f>
        <v>25.142857142857142</v>
      </c>
      <c r="AX19" s="493"/>
      <c r="AY19" s="1">
        <v>11</v>
      </c>
      <c r="AZ19" s="1">
        <v>11</v>
      </c>
      <c r="BA19" s="1">
        <v>11</v>
      </c>
      <c r="BB19" s="339">
        <f t="shared" si="23"/>
        <v>132</v>
      </c>
      <c r="BC19" s="435"/>
    </row>
    <row r="20" spans="1:55" ht="68.25" customHeight="1" x14ac:dyDescent="0.25">
      <c r="A20" s="407"/>
      <c r="B20" s="496"/>
      <c r="C20" s="413"/>
      <c r="D20" s="26" t="s">
        <v>602</v>
      </c>
      <c r="E20" s="409"/>
      <c r="F20" s="439"/>
      <c r="G20" s="343">
        <v>16</v>
      </c>
      <c r="H20" s="296" t="s">
        <v>283</v>
      </c>
      <c r="I20" s="417"/>
      <c r="J20" s="417"/>
      <c r="K20" s="536"/>
      <c r="L20" s="290">
        <v>0</v>
      </c>
      <c r="M20" s="315">
        <f t="shared" si="6"/>
        <v>0</v>
      </c>
      <c r="N20" s="290">
        <v>0</v>
      </c>
      <c r="O20" s="315">
        <f t="shared" si="7"/>
        <v>0</v>
      </c>
      <c r="P20" s="290">
        <v>9</v>
      </c>
      <c r="Q20" s="315">
        <f t="shared" si="8"/>
        <v>0.5625</v>
      </c>
      <c r="R20" s="29">
        <f t="shared" si="38"/>
        <v>9</v>
      </c>
      <c r="S20" s="485"/>
      <c r="T20" s="309">
        <f t="shared" si="1"/>
        <v>0.5625</v>
      </c>
      <c r="U20" s="309">
        <f t="shared" si="10"/>
        <v>0.28125</v>
      </c>
      <c r="V20" s="308" t="s">
        <v>803</v>
      </c>
      <c r="W20" s="418"/>
      <c r="X20" s="418"/>
      <c r="Y20" s="491"/>
      <c r="Z20" s="290">
        <v>11</v>
      </c>
      <c r="AA20" s="315">
        <f t="shared" si="12"/>
        <v>0.6875</v>
      </c>
      <c r="AB20" s="290">
        <v>11</v>
      </c>
      <c r="AC20" s="315">
        <f t="shared" si="13"/>
        <v>0.6875</v>
      </c>
      <c r="AD20" s="290">
        <v>11</v>
      </c>
      <c r="AE20" s="315">
        <f t="shared" si="14"/>
        <v>0.6875</v>
      </c>
      <c r="AF20" s="29">
        <v>11</v>
      </c>
      <c r="AG20" s="485"/>
      <c r="AH20" s="309">
        <f t="shared" si="16"/>
        <v>0.6875</v>
      </c>
      <c r="AI20" s="309">
        <f t="shared" si="17"/>
        <v>0.34375</v>
      </c>
      <c r="AJ20" s="308" t="s">
        <v>803</v>
      </c>
      <c r="AK20" s="418"/>
      <c r="AL20" s="418"/>
      <c r="AM20" s="491"/>
      <c r="AN20" s="290">
        <v>11</v>
      </c>
      <c r="AO20" s="315">
        <f t="shared" si="19"/>
        <v>39.111111111111114</v>
      </c>
      <c r="AP20" s="290">
        <v>11</v>
      </c>
      <c r="AQ20" s="315">
        <f t="shared" si="20"/>
        <v>39.111111111111114</v>
      </c>
      <c r="AR20" s="290">
        <v>11</v>
      </c>
      <c r="AS20" s="315">
        <f t="shared" si="21"/>
        <v>39.111111111111114</v>
      </c>
      <c r="AT20" s="29">
        <f t="shared" si="3"/>
        <v>33</v>
      </c>
      <c r="AU20" s="338"/>
      <c r="AV20" s="338">
        <f t="shared" si="4"/>
        <v>117.33333333333333</v>
      </c>
      <c r="AW20" s="338">
        <f t="shared" si="22"/>
        <v>58.666666666666664</v>
      </c>
      <c r="AX20" s="494"/>
      <c r="AY20" s="1">
        <v>8</v>
      </c>
      <c r="AZ20" s="1">
        <v>8</v>
      </c>
      <c r="BA20" s="1">
        <v>8</v>
      </c>
      <c r="BB20" s="339">
        <f t="shared" si="23"/>
        <v>99</v>
      </c>
      <c r="BC20" s="436"/>
    </row>
    <row r="21" spans="1:55" ht="127.5" customHeight="1" x14ac:dyDescent="0.25">
      <c r="A21" s="407"/>
      <c r="B21" s="495" t="s">
        <v>284</v>
      </c>
      <c r="C21" s="412" t="s">
        <v>285</v>
      </c>
      <c r="D21" s="2" t="str">
        <f>[1]SEGUIMIENTO!D115</f>
        <v xml:space="preserve"> Apoyo a actividades de clima organizacional, docentes, estudiantes y administrativos en las Sedes</v>
      </c>
      <c r="E21" s="408">
        <f>[1]SEGUIMIENTO!E115</f>
        <v>301</v>
      </c>
      <c r="F21" s="438" t="s">
        <v>287</v>
      </c>
      <c r="G21" s="343">
        <v>11</v>
      </c>
      <c r="H21" s="296" t="s">
        <v>116</v>
      </c>
      <c r="I21" s="416">
        <v>139724459</v>
      </c>
      <c r="J21" s="416">
        <v>127993829</v>
      </c>
      <c r="K21" s="489">
        <f t="shared" si="5"/>
        <v>11730630</v>
      </c>
      <c r="L21" s="290">
        <v>0</v>
      </c>
      <c r="M21" s="315">
        <f t="shared" si="6"/>
        <v>0</v>
      </c>
      <c r="N21" s="290">
        <v>0</v>
      </c>
      <c r="O21" s="315">
        <f t="shared" si="7"/>
        <v>0</v>
      </c>
      <c r="P21" s="290">
        <v>1</v>
      </c>
      <c r="Q21" s="315">
        <f t="shared" si="8"/>
        <v>9.0909090909090912E-2</v>
      </c>
      <c r="R21" s="29">
        <f t="shared" si="38"/>
        <v>1</v>
      </c>
      <c r="S21" s="483">
        <f t="shared" si="34"/>
        <v>0.91604454879299269</v>
      </c>
      <c r="T21" s="309">
        <f t="shared" si="1"/>
        <v>9.0909090909090912E-2</v>
      </c>
      <c r="U21" s="309">
        <f t="shared" si="10"/>
        <v>0.50347681985104176</v>
      </c>
      <c r="V21" s="497" t="s">
        <v>804</v>
      </c>
      <c r="W21" s="4">
        <v>125165225</v>
      </c>
      <c r="X21" s="4">
        <v>82611083</v>
      </c>
      <c r="Y21" s="313">
        <f t="shared" ref="Y21:Y22" si="39">W21-X21</f>
        <v>42554142</v>
      </c>
      <c r="Z21" s="290">
        <v>0</v>
      </c>
      <c r="AA21" s="315">
        <f t="shared" si="12"/>
        <v>0</v>
      </c>
      <c r="AB21" s="290">
        <v>0</v>
      </c>
      <c r="AC21" s="315">
        <f t="shared" si="13"/>
        <v>0</v>
      </c>
      <c r="AD21" s="290">
        <v>0</v>
      </c>
      <c r="AE21" s="315">
        <f t="shared" si="14"/>
        <v>0</v>
      </c>
      <c r="AF21" s="29">
        <f t="shared" ref="AF21:AF28" si="40">+Z21+AB21+AD21</f>
        <v>0</v>
      </c>
      <c r="AG21" s="483">
        <f t="shared" ref="AG21" si="41">IFERROR((X21/W21),0)</f>
        <v>0.66001625451478241</v>
      </c>
      <c r="AH21" s="309">
        <f>IFERROR((AF21/G21),0)</f>
        <v>0</v>
      </c>
      <c r="AI21" s="309">
        <f t="shared" si="17"/>
        <v>0.3300081272573912</v>
      </c>
      <c r="AJ21" s="7"/>
      <c r="AK21" s="4">
        <v>125165225</v>
      </c>
      <c r="AL21" s="312">
        <v>83669383</v>
      </c>
      <c r="AM21" s="313">
        <f t="shared" ref="AM21:AM22" si="42">AK21-AL21</f>
        <v>41495842</v>
      </c>
      <c r="AN21" s="290">
        <v>0</v>
      </c>
      <c r="AO21" s="315">
        <f t="shared" si="19"/>
        <v>0</v>
      </c>
      <c r="AP21" s="290">
        <v>1</v>
      </c>
      <c r="AQ21" s="315">
        <f t="shared" si="20"/>
        <v>1.9861887589896576</v>
      </c>
      <c r="AR21" s="290">
        <v>1</v>
      </c>
      <c r="AS21" s="315">
        <f t="shared" si="21"/>
        <v>1.9861887589896576</v>
      </c>
      <c r="AT21" s="29">
        <f t="shared" si="3"/>
        <v>2</v>
      </c>
      <c r="AU21" s="338">
        <f>IFERROR((AL21/AK21),0)</f>
        <v>0.6684714783998511</v>
      </c>
      <c r="AV21" s="338">
        <f t="shared" si="4"/>
        <v>3.9723775179793153</v>
      </c>
      <c r="AW21" s="338">
        <f t="shared" si="22"/>
        <v>2.320424498189583</v>
      </c>
      <c r="AX21" s="308" t="s">
        <v>805</v>
      </c>
      <c r="AY21" s="295">
        <v>0</v>
      </c>
      <c r="AZ21" s="295">
        <v>0</v>
      </c>
      <c r="BA21" s="295">
        <v>2</v>
      </c>
      <c r="BB21" s="339">
        <f t="shared" si="23"/>
        <v>5</v>
      </c>
      <c r="BC21" s="345" t="s">
        <v>806</v>
      </c>
    </row>
    <row r="22" spans="1:55" ht="33" customHeight="1" x14ac:dyDescent="0.25">
      <c r="A22" s="407"/>
      <c r="B22" s="496"/>
      <c r="C22" s="413"/>
      <c r="D22" s="2" t="str">
        <f>[1]SEGUIMIENTO!D116</f>
        <v>Eventos convivencia, integración y reconocimiento</v>
      </c>
      <c r="E22" s="409"/>
      <c r="F22" s="439"/>
      <c r="G22" s="343">
        <v>9</v>
      </c>
      <c r="H22" s="296" t="s">
        <v>116</v>
      </c>
      <c r="I22" s="418"/>
      <c r="J22" s="418"/>
      <c r="K22" s="491"/>
      <c r="L22" s="290">
        <v>0</v>
      </c>
      <c r="M22" s="315">
        <f t="shared" si="6"/>
        <v>0</v>
      </c>
      <c r="N22" s="290">
        <v>0</v>
      </c>
      <c r="O22" s="315">
        <f t="shared" si="7"/>
        <v>0</v>
      </c>
      <c r="P22" s="290"/>
      <c r="Q22" s="315">
        <f t="shared" si="8"/>
        <v>0</v>
      </c>
      <c r="R22" s="29">
        <f t="shared" si="38"/>
        <v>0</v>
      </c>
      <c r="S22" s="485"/>
      <c r="T22" s="309">
        <f t="shared" si="1"/>
        <v>0</v>
      </c>
      <c r="U22" s="309">
        <f t="shared" si="10"/>
        <v>0</v>
      </c>
      <c r="V22" s="498"/>
      <c r="W22" s="4"/>
      <c r="X22" s="4"/>
      <c r="Y22" s="313">
        <f t="shared" si="39"/>
        <v>0</v>
      </c>
      <c r="Z22" s="290">
        <v>1</v>
      </c>
      <c r="AA22" s="315">
        <f t="shared" si="12"/>
        <v>0.1111111111111111</v>
      </c>
      <c r="AB22" s="290"/>
      <c r="AC22" s="315">
        <f t="shared" si="13"/>
        <v>0</v>
      </c>
      <c r="AD22" s="290">
        <v>2</v>
      </c>
      <c r="AE22" s="315">
        <f t="shared" si="14"/>
        <v>0.22222222222222221</v>
      </c>
      <c r="AF22" s="29">
        <f t="shared" si="40"/>
        <v>3</v>
      </c>
      <c r="AG22" s="485"/>
      <c r="AH22" s="309">
        <f t="shared" si="16"/>
        <v>0.33333333333333331</v>
      </c>
      <c r="AI22" s="309">
        <f t="shared" si="17"/>
        <v>0.16666666666666666</v>
      </c>
      <c r="AJ22" s="7" t="s">
        <v>804</v>
      </c>
      <c r="AK22" s="4"/>
      <c r="AL22" s="312"/>
      <c r="AM22" s="313">
        <f t="shared" si="42"/>
        <v>0</v>
      </c>
      <c r="AN22" s="290">
        <v>3</v>
      </c>
      <c r="AO22" s="315">
        <f t="shared" si="19"/>
        <v>0</v>
      </c>
      <c r="AP22" s="290">
        <v>0</v>
      </c>
      <c r="AQ22" s="315">
        <f t="shared" si="20"/>
        <v>0</v>
      </c>
      <c r="AR22" s="290">
        <v>1</v>
      </c>
      <c r="AS22" s="315">
        <f t="shared" si="21"/>
        <v>0</v>
      </c>
      <c r="AT22" s="29">
        <f t="shared" si="3"/>
        <v>4</v>
      </c>
      <c r="AU22" s="338"/>
      <c r="AV22" s="338">
        <f t="shared" si="4"/>
        <v>0</v>
      </c>
      <c r="AW22" s="338">
        <f t="shared" si="22"/>
        <v>0</v>
      </c>
      <c r="AX22" s="308" t="s">
        <v>807</v>
      </c>
      <c r="AY22" s="295">
        <v>0</v>
      </c>
      <c r="AZ22" s="295">
        <v>0</v>
      </c>
      <c r="BA22" s="295">
        <v>0</v>
      </c>
      <c r="BB22" s="339">
        <f t="shared" si="23"/>
        <v>7</v>
      </c>
      <c r="BC22" s="7"/>
    </row>
    <row r="23" spans="1:55" ht="24" customHeight="1" x14ac:dyDescent="0.25">
      <c r="A23" s="407"/>
      <c r="B23" s="495" t="s">
        <v>289</v>
      </c>
      <c r="C23" s="412" t="str">
        <f>[1]SEGUIMIENTO!C117</f>
        <v>SB-PY5.1</v>
      </c>
      <c r="D23" s="294" t="s">
        <v>808</v>
      </c>
      <c r="E23" s="24"/>
      <c r="F23" s="296" t="s">
        <v>255</v>
      </c>
      <c r="G23" s="343">
        <v>2704</v>
      </c>
      <c r="H23" s="296" t="s">
        <v>256</v>
      </c>
      <c r="I23" s="505">
        <v>1456129817</v>
      </c>
      <c r="J23" s="505">
        <v>1418517627</v>
      </c>
      <c r="K23" s="499">
        <f t="shared" si="5"/>
        <v>37612190</v>
      </c>
      <c r="L23" s="32">
        <v>0</v>
      </c>
      <c r="M23" s="315">
        <f t="shared" si="6"/>
        <v>0</v>
      </c>
      <c r="N23" s="76">
        <v>39344</v>
      </c>
      <c r="O23" s="315">
        <f t="shared" si="7"/>
        <v>14.550295857988166</v>
      </c>
      <c r="P23" s="77">
        <v>71470</v>
      </c>
      <c r="Q23" s="315">
        <f t="shared" si="8"/>
        <v>26.431213017751478</v>
      </c>
      <c r="R23" s="75">
        <f t="shared" si="38"/>
        <v>110814</v>
      </c>
      <c r="S23" s="483">
        <f t="shared" si="34"/>
        <v>0.97416975494843538</v>
      </c>
      <c r="T23" s="309">
        <f t="shared" si="1"/>
        <v>40.981508875739642</v>
      </c>
      <c r="U23" s="309">
        <f t="shared" si="10"/>
        <v>20.977839315344038</v>
      </c>
      <c r="V23" s="308" t="s">
        <v>809</v>
      </c>
      <c r="W23" s="346">
        <v>1219603969</v>
      </c>
      <c r="X23" s="346">
        <v>504802036</v>
      </c>
      <c r="Y23" s="347">
        <f>W23-X23</f>
        <v>714801933</v>
      </c>
      <c r="Z23" s="32">
        <v>52969</v>
      </c>
      <c r="AA23" s="315">
        <f t="shared" si="12"/>
        <v>19.589127218934912</v>
      </c>
      <c r="AB23" s="76">
        <v>67903</v>
      </c>
      <c r="AC23" s="315">
        <f t="shared" si="13"/>
        <v>25.112056213017752</v>
      </c>
      <c r="AD23" s="77">
        <v>15290</v>
      </c>
      <c r="AE23" s="315">
        <f t="shared" si="14"/>
        <v>5.6545857988165684</v>
      </c>
      <c r="AF23" s="75">
        <f t="shared" si="40"/>
        <v>136162</v>
      </c>
      <c r="AG23" s="483">
        <f t="shared" ref="AG23" si="43">IFERROR((X23/W23),0)</f>
        <v>0.41390652115859095</v>
      </c>
      <c r="AH23" s="309">
        <f t="shared" si="16"/>
        <v>50.355769230769234</v>
      </c>
      <c r="AI23" s="309">
        <f t="shared" si="17"/>
        <v>25.384837875963914</v>
      </c>
      <c r="AJ23" s="308" t="s">
        <v>809</v>
      </c>
      <c r="AK23" s="346">
        <v>1219603969</v>
      </c>
      <c r="AL23" s="312">
        <v>813506012</v>
      </c>
      <c r="AM23" s="347">
        <f>AK23-AL23</f>
        <v>406097957</v>
      </c>
      <c r="AN23" s="32">
        <v>0</v>
      </c>
      <c r="AO23" s="315">
        <f t="shared" si="19"/>
        <v>0</v>
      </c>
      <c r="AP23" s="76">
        <v>74753</v>
      </c>
      <c r="AQ23" s="315">
        <f t="shared" si="20"/>
        <v>3563.4270468132836</v>
      </c>
      <c r="AR23" s="77">
        <v>76713</v>
      </c>
      <c r="AS23" s="315">
        <f t="shared" si="21"/>
        <v>3656.8589761238668</v>
      </c>
      <c r="AT23" s="75">
        <f t="shared" si="3"/>
        <v>151466</v>
      </c>
      <c r="AU23" s="338">
        <f t="shared" ref="AU23:AU28" si="44">IFERROR((AL23/AK23),0)</f>
        <v>0.66702473317385536</v>
      </c>
      <c r="AV23" s="338">
        <f t="shared" si="4"/>
        <v>7220.2860229371499</v>
      </c>
      <c r="AW23" s="338">
        <f t="shared" si="22"/>
        <v>3610.476523835162</v>
      </c>
      <c r="AX23" s="308" t="s">
        <v>810</v>
      </c>
      <c r="AY23" s="295">
        <v>72945</v>
      </c>
      <c r="AZ23" s="295">
        <v>74018</v>
      </c>
      <c r="BA23" s="295">
        <v>4345</v>
      </c>
      <c r="BB23" s="339">
        <f t="shared" si="23"/>
        <v>549750</v>
      </c>
      <c r="BC23" s="308" t="s">
        <v>811</v>
      </c>
    </row>
    <row r="24" spans="1:55" ht="30" customHeight="1" x14ac:dyDescent="0.25">
      <c r="A24" s="407"/>
      <c r="B24" s="496"/>
      <c r="C24" s="413"/>
      <c r="D24" s="26" t="str">
        <f>[1]SEGUIMIENTO!D118</f>
        <v>Meriendas Pitalito</v>
      </c>
      <c r="E24" s="46"/>
      <c r="F24" s="296" t="s">
        <v>255</v>
      </c>
      <c r="G24" s="343">
        <v>81640</v>
      </c>
      <c r="H24" s="296" t="s">
        <v>256</v>
      </c>
      <c r="I24" s="507"/>
      <c r="J24" s="507"/>
      <c r="K24" s="500"/>
      <c r="L24" s="32">
        <v>0</v>
      </c>
      <c r="M24" s="315">
        <f t="shared" si="6"/>
        <v>0</v>
      </c>
      <c r="N24" s="76">
        <v>5200</v>
      </c>
      <c r="O24" s="315">
        <f t="shared" si="7"/>
        <v>6.3694267515923567E-2</v>
      </c>
      <c r="P24" s="77">
        <v>11440</v>
      </c>
      <c r="Q24" s="315">
        <f t="shared" si="8"/>
        <v>0.14012738853503184</v>
      </c>
      <c r="R24" s="75">
        <f t="shared" si="38"/>
        <v>16640</v>
      </c>
      <c r="S24" s="484"/>
      <c r="T24" s="309">
        <f t="shared" si="1"/>
        <v>0.20382165605095542</v>
      </c>
      <c r="U24" s="309">
        <f t="shared" si="10"/>
        <v>0.10191082802547771</v>
      </c>
      <c r="V24" s="80" t="s">
        <v>812</v>
      </c>
      <c r="W24" s="346">
        <v>125174400</v>
      </c>
      <c r="X24" s="346">
        <v>73018400</v>
      </c>
      <c r="Y24" s="347">
        <f t="shared" ref="Y24:Y28" si="45">W24-X24</f>
        <v>52156000</v>
      </c>
      <c r="Z24" s="32">
        <v>7800</v>
      </c>
      <c r="AA24" s="315">
        <f t="shared" si="12"/>
        <v>9.5541401273885357E-2</v>
      </c>
      <c r="AB24" s="76">
        <v>10920</v>
      </c>
      <c r="AC24" s="315">
        <f t="shared" si="13"/>
        <v>0.13375796178343949</v>
      </c>
      <c r="AD24" s="77">
        <v>1040</v>
      </c>
      <c r="AE24" s="315">
        <f t="shared" si="14"/>
        <v>1.2738853503184714E-2</v>
      </c>
      <c r="AF24" s="75">
        <f t="shared" si="40"/>
        <v>19760</v>
      </c>
      <c r="AG24" s="484"/>
      <c r="AH24" s="309">
        <f t="shared" si="16"/>
        <v>0.24203821656050956</v>
      </c>
      <c r="AI24" s="309">
        <f t="shared" si="17"/>
        <v>0.12101910828025478</v>
      </c>
      <c r="AJ24" s="80" t="s">
        <v>812</v>
      </c>
      <c r="AK24" s="346">
        <v>125174400</v>
      </c>
      <c r="AL24" s="312">
        <v>116829440</v>
      </c>
      <c r="AM24" s="347">
        <f t="shared" ref="AM24:AM28" si="46">AK24-AL24</f>
        <v>8344960</v>
      </c>
      <c r="AN24" s="32">
        <v>0</v>
      </c>
      <c r="AO24" s="315">
        <f t="shared" si="19"/>
        <v>0</v>
      </c>
      <c r="AP24" s="76">
        <v>10920</v>
      </c>
      <c r="AQ24" s="315">
        <f t="shared" si="20"/>
        <v>107152.5</v>
      </c>
      <c r="AR24" s="77">
        <v>10920</v>
      </c>
      <c r="AS24" s="315">
        <f t="shared" si="21"/>
        <v>107152.5</v>
      </c>
      <c r="AT24" s="75">
        <f t="shared" si="3"/>
        <v>21840</v>
      </c>
      <c r="AU24" s="338">
        <f t="shared" si="44"/>
        <v>0.93333333333333335</v>
      </c>
      <c r="AV24" s="338">
        <f t="shared" si="4"/>
        <v>214305</v>
      </c>
      <c r="AW24" s="338">
        <f t="shared" si="22"/>
        <v>107152.96666666666</v>
      </c>
      <c r="AX24" s="308" t="s">
        <v>813</v>
      </c>
      <c r="AY24" s="295">
        <v>10920</v>
      </c>
      <c r="AZ24" s="295">
        <v>2320</v>
      </c>
      <c r="BA24" s="295">
        <v>0</v>
      </c>
      <c r="BB24" s="339">
        <f t="shared" si="23"/>
        <v>71480</v>
      </c>
      <c r="BC24" s="308" t="s">
        <v>814</v>
      </c>
    </row>
    <row r="25" spans="1:55" ht="79.5" customHeight="1" x14ac:dyDescent="0.25">
      <c r="A25" s="407"/>
      <c r="B25" s="496"/>
      <c r="C25" s="413"/>
      <c r="D25" s="26" t="str">
        <f>[1]SEGUIMIENTO!D119</f>
        <v>Meriendas Garzón</v>
      </c>
      <c r="E25" s="46"/>
      <c r="F25" s="296" t="s">
        <v>255</v>
      </c>
      <c r="G25" s="343">
        <v>28260</v>
      </c>
      <c r="H25" s="296" t="s">
        <v>256</v>
      </c>
      <c r="I25" s="507"/>
      <c r="J25" s="507"/>
      <c r="K25" s="500"/>
      <c r="L25" s="32">
        <v>0</v>
      </c>
      <c r="M25" s="315">
        <f t="shared" si="6"/>
        <v>0</v>
      </c>
      <c r="N25" s="76">
        <v>1800</v>
      </c>
      <c r="O25" s="315">
        <f t="shared" si="7"/>
        <v>6.3694267515923567E-2</v>
      </c>
      <c r="P25" s="77">
        <v>3960</v>
      </c>
      <c r="Q25" s="315">
        <f t="shared" si="8"/>
        <v>0.14012738853503184</v>
      </c>
      <c r="R25" s="75">
        <f t="shared" si="38"/>
        <v>5760</v>
      </c>
      <c r="S25" s="484"/>
      <c r="T25" s="309">
        <f t="shared" si="1"/>
        <v>0.20382165605095542</v>
      </c>
      <c r="U25" s="309">
        <f t="shared" si="10"/>
        <v>0.10191082802547771</v>
      </c>
      <c r="V25" s="80" t="s">
        <v>815</v>
      </c>
      <c r="W25" s="346">
        <v>43329600</v>
      </c>
      <c r="X25" s="346">
        <v>26748004</v>
      </c>
      <c r="Y25" s="347">
        <f t="shared" si="45"/>
        <v>16581596</v>
      </c>
      <c r="Z25" s="32">
        <v>2700</v>
      </c>
      <c r="AA25" s="315">
        <f t="shared" si="12"/>
        <v>9.5541401273885357E-2</v>
      </c>
      <c r="AB25" s="76">
        <v>3780</v>
      </c>
      <c r="AC25" s="315">
        <f t="shared" si="13"/>
        <v>0.13375796178343949</v>
      </c>
      <c r="AD25" s="77">
        <v>360</v>
      </c>
      <c r="AE25" s="315">
        <f t="shared" si="14"/>
        <v>1.2738853503184714E-2</v>
      </c>
      <c r="AF25" s="75">
        <f t="shared" si="40"/>
        <v>6840</v>
      </c>
      <c r="AG25" s="484"/>
      <c r="AH25" s="309">
        <f t="shared" si="16"/>
        <v>0.24203821656050956</v>
      </c>
      <c r="AI25" s="309">
        <f t="shared" si="17"/>
        <v>0.12101910828025478</v>
      </c>
      <c r="AJ25" s="80" t="s">
        <v>815</v>
      </c>
      <c r="AK25" s="346">
        <v>43329600</v>
      </c>
      <c r="AL25" s="346">
        <v>43329600</v>
      </c>
      <c r="AM25" s="347">
        <f t="shared" si="46"/>
        <v>0</v>
      </c>
      <c r="AN25" s="32">
        <v>0</v>
      </c>
      <c r="AO25" s="315">
        <f t="shared" si="19"/>
        <v>0</v>
      </c>
      <c r="AP25" s="76">
        <v>3780</v>
      </c>
      <c r="AQ25" s="315">
        <f t="shared" si="20"/>
        <v>37091.25</v>
      </c>
      <c r="AR25" s="77">
        <v>3780</v>
      </c>
      <c r="AS25" s="315">
        <f t="shared" si="21"/>
        <v>37091.25</v>
      </c>
      <c r="AT25" s="75">
        <f t="shared" si="3"/>
        <v>7560</v>
      </c>
      <c r="AU25" s="338">
        <f t="shared" si="44"/>
        <v>1</v>
      </c>
      <c r="AV25" s="338">
        <f t="shared" si="4"/>
        <v>74182.5</v>
      </c>
      <c r="AW25" s="338">
        <f t="shared" si="22"/>
        <v>37091.75</v>
      </c>
      <c r="AX25" s="308" t="s">
        <v>816</v>
      </c>
      <c r="AY25" s="295">
        <v>3780</v>
      </c>
      <c r="AZ25" s="295">
        <v>2880</v>
      </c>
      <c r="BA25" s="295">
        <v>0</v>
      </c>
      <c r="BB25" s="339">
        <f t="shared" si="23"/>
        <v>26820</v>
      </c>
      <c r="BC25" s="308" t="s">
        <v>817</v>
      </c>
    </row>
    <row r="26" spans="1:55" ht="91.5" customHeight="1" x14ac:dyDescent="0.25">
      <c r="A26" s="407"/>
      <c r="B26" s="496"/>
      <c r="C26" s="414"/>
      <c r="D26" s="26" t="str">
        <f>[1]SEGUIMIENTO!D120</f>
        <v>Meriendas La Plata</v>
      </c>
      <c r="E26" s="17"/>
      <c r="F26" s="296" t="s">
        <v>255</v>
      </c>
      <c r="G26" s="343">
        <v>28260</v>
      </c>
      <c r="H26" s="296" t="s">
        <v>256</v>
      </c>
      <c r="I26" s="506"/>
      <c r="J26" s="506"/>
      <c r="K26" s="501"/>
      <c r="L26" s="32"/>
      <c r="M26" s="315">
        <f t="shared" si="6"/>
        <v>0</v>
      </c>
      <c r="N26" s="76">
        <v>1800</v>
      </c>
      <c r="O26" s="315">
        <f t="shared" si="7"/>
        <v>6.3694267515923567E-2</v>
      </c>
      <c r="P26" s="77">
        <v>3960</v>
      </c>
      <c r="Q26" s="315">
        <f t="shared" si="8"/>
        <v>0.14012738853503184</v>
      </c>
      <c r="R26" s="75">
        <f t="shared" si="38"/>
        <v>5760</v>
      </c>
      <c r="S26" s="485"/>
      <c r="T26" s="309">
        <f t="shared" si="1"/>
        <v>0.20382165605095542</v>
      </c>
      <c r="U26" s="309">
        <f t="shared" si="10"/>
        <v>0.10191082802547771</v>
      </c>
      <c r="V26" s="80" t="s">
        <v>818</v>
      </c>
      <c r="W26" s="346">
        <v>43329600</v>
      </c>
      <c r="X26" s="346">
        <v>22748040</v>
      </c>
      <c r="Y26" s="347">
        <f t="shared" si="45"/>
        <v>20581560</v>
      </c>
      <c r="Z26" s="32">
        <v>1440</v>
      </c>
      <c r="AA26" s="315">
        <f t="shared" si="12"/>
        <v>5.0955414012738856E-2</v>
      </c>
      <c r="AB26" s="76">
        <v>3780</v>
      </c>
      <c r="AC26" s="315">
        <f t="shared" si="13"/>
        <v>0.13375796178343949</v>
      </c>
      <c r="AD26" s="77">
        <v>360</v>
      </c>
      <c r="AE26" s="315">
        <f t="shared" si="14"/>
        <v>1.2738853503184714E-2</v>
      </c>
      <c r="AF26" s="75">
        <f t="shared" si="40"/>
        <v>5580</v>
      </c>
      <c r="AG26" s="485"/>
      <c r="AH26" s="309">
        <f>IFERROR((AF26/G26),0)</f>
        <v>0.19745222929936307</v>
      </c>
      <c r="AI26" s="309">
        <f t="shared" si="17"/>
        <v>9.8726114649681534E-2</v>
      </c>
      <c r="AJ26" s="80" t="s">
        <v>818</v>
      </c>
      <c r="AK26" s="346">
        <v>43329600</v>
      </c>
      <c r="AL26" s="312">
        <v>36749920</v>
      </c>
      <c r="AM26" s="347">
        <f t="shared" si="46"/>
        <v>6579680</v>
      </c>
      <c r="AN26" s="32">
        <v>0</v>
      </c>
      <c r="AO26" s="315">
        <f t="shared" si="19"/>
        <v>0</v>
      </c>
      <c r="AP26" s="76">
        <v>3594</v>
      </c>
      <c r="AQ26" s="315">
        <f t="shared" si="20"/>
        <v>35266.125</v>
      </c>
      <c r="AR26" s="77">
        <v>3386</v>
      </c>
      <c r="AS26" s="315">
        <f t="shared" si="21"/>
        <v>33225.125</v>
      </c>
      <c r="AT26" s="75">
        <f t="shared" si="3"/>
        <v>6980</v>
      </c>
      <c r="AU26" s="338">
        <f t="shared" si="44"/>
        <v>0.8481481481481481</v>
      </c>
      <c r="AV26" s="338">
        <f t="shared" si="4"/>
        <v>68491.25</v>
      </c>
      <c r="AW26" s="338">
        <f t="shared" si="22"/>
        <v>34246.049074074072</v>
      </c>
      <c r="AX26" s="308" t="s">
        <v>819</v>
      </c>
      <c r="AY26" s="295">
        <v>3060</v>
      </c>
      <c r="AZ26" s="295">
        <v>2880</v>
      </c>
      <c r="BA26" s="295">
        <v>0</v>
      </c>
      <c r="BB26" s="348">
        <f t="shared" si="23"/>
        <v>24260</v>
      </c>
      <c r="BC26" s="308" t="s">
        <v>819</v>
      </c>
    </row>
    <row r="27" spans="1:55" ht="19.5" customHeight="1" x14ac:dyDescent="0.25">
      <c r="A27" s="407"/>
      <c r="B27" s="496"/>
      <c r="C27" s="295" t="str">
        <f>[1]SEGUIMIENTO!C121</f>
        <v>SB-PY5.2</v>
      </c>
      <c r="D27" s="2" t="str">
        <f>[1]SEGUIMIENTO!D121</f>
        <v>Atención a población estudiantil en situación de extrema vulnerabilidad en las Sedes.</v>
      </c>
      <c r="E27" s="2">
        <f>[1]SEGUIMIENTO!E121</f>
        <v>301</v>
      </c>
      <c r="F27" s="296" t="s">
        <v>255</v>
      </c>
      <c r="G27" s="343">
        <v>159</v>
      </c>
      <c r="H27" s="296" t="s">
        <v>820</v>
      </c>
      <c r="I27" s="4">
        <v>51147697</v>
      </c>
      <c r="J27" s="4">
        <v>51147697</v>
      </c>
      <c r="K27" s="313">
        <f t="shared" si="5"/>
        <v>0</v>
      </c>
      <c r="L27" s="290">
        <v>0</v>
      </c>
      <c r="M27" s="315">
        <f t="shared" si="6"/>
        <v>0</v>
      </c>
      <c r="N27" s="290">
        <v>0</v>
      </c>
      <c r="O27" s="315">
        <f t="shared" si="7"/>
        <v>0</v>
      </c>
      <c r="P27" s="290">
        <v>188</v>
      </c>
      <c r="Q27" s="315">
        <f t="shared" si="8"/>
        <v>1.1823899371069182</v>
      </c>
      <c r="R27" s="78">
        <f t="shared" si="38"/>
        <v>188</v>
      </c>
      <c r="S27" s="309">
        <f t="shared" si="34"/>
        <v>1</v>
      </c>
      <c r="T27" s="309">
        <f t="shared" si="1"/>
        <v>1.1823899371069182</v>
      </c>
      <c r="U27" s="309">
        <f t="shared" si="10"/>
        <v>1.091194968553459</v>
      </c>
      <c r="V27" s="81" t="s">
        <v>821</v>
      </c>
      <c r="W27" s="312">
        <v>30000000</v>
      </c>
      <c r="X27" s="312"/>
      <c r="Y27" s="313">
        <f t="shared" si="45"/>
        <v>30000000</v>
      </c>
      <c r="Z27" s="290">
        <v>65</v>
      </c>
      <c r="AA27" s="315">
        <f t="shared" si="12"/>
        <v>0.4088050314465409</v>
      </c>
      <c r="AB27" s="290">
        <v>0</v>
      </c>
      <c r="AC27" s="315">
        <f t="shared" si="13"/>
        <v>0</v>
      </c>
      <c r="AD27" s="290">
        <v>0</v>
      </c>
      <c r="AE27" s="315">
        <f t="shared" si="14"/>
        <v>0</v>
      </c>
      <c r="AF27" s="78">
        <f t="shared" si="40"/>
        <v>65</v>
      </c>
      <c r="AG27" s="309">
        <f t="shared" ref="AG27:AG30" si="47">IFERROR((X27/W27),0)</f>
        <v>0</v>
      </c>
      <c r="AH27" s="309">
        <f t="shared" si="16"/>
        <v>0.4088050314465409</v>
      </c>
      <c r="AI27" s="309">
        <f t="shared" si="17"/>
        <v>0.20440251572327045</v>
      </c>
      <c r="AJ27" s="81" t="s">
        <v>821</v>
      </c>
      <c r="AK27" s="312">
        <v>30000000</v>
      </c>
      <c r="AL27" s="312">
        <v>51147697</v>
      </c>
      <c r="AM27" s="313">
        <f t="shared" si="46"/>
        <v>-21147697</v>
      </c>
      <c r="AN27" s="290">
        <v>41</v>
      </c>
      <c r="AO27" s="315">
        <f t="shared" si="19"/>
        <v>37.573487031700296</v>
      </c>
      <c r="AP27" s="290">
        <v>145</v>
      </c>
      <c r="AQ27" s="315">
        <f t="shared" si="20"/>
        <v>132.88184438040346</v>
      </c>
      <c r="AR27" s="290">
        <v>0</v>
      </c>
      <c r="AS27" s="315">
        <f t="shared" si="21"/>
        <v>0</v>
      </c>
      <c r="AT27" s="78">
        <f t="shared" si="3"/>
        <v>186</v>
      </c>
      <c r="AU27" s="338">
        <f t="shared" si="44"/>
        <v>1.7049232333333333</v>
      </c>
      <c r="AV27" s="338">
        <f t="shared" si="4"/>
        <v>170.45533141210376</v>
      </c>
      <c r="AW27" s="338">
        <f t="shared" si="22"/>
        <v>86.080127322718553</v>
      </c>
      <c r="AX27" s="1" t="s">
        <v>822</v>
      </c>
      <c r="AY27" s="295">
        <v>0</v>
      </c>
      <c r="AZ27" s="295">
        <v>0</v>
      </c>
      <c r="BA27" s="295">
        <v>0</v>
      </c>
      <c r="BB27" s="339">
        <f t="shared" si="23"/>
        <v>439</v>
      </c>
      <c r="BC27" s="81" t="s">
        <v>823</v>
      </c>
    </row>
    <row r="28" spans="1:55" ht="36" customHeight="1" x14ac:dyDescent="0.25">
      <c r="A28" s="407"/>
      <c r="B28" s="502"/>
      <c r="C28" s="295" t="str">
        <f>[1]SEGUIMIENTO!C122</f>
        <v>SB-PY5.3</v>
      </c>
      <c r="D28" s="2" t="str">
        <f>[1]SEGUIMIENTO!D122</f>
        <v>Vinculación de estudiantes en procesos institucionales.</v>
      </c>
      <c r="E28" s="2">
        <f>[1]SEGUIMIENTO!E122</f>
        <v>301</v>
      </c>
      <c r="F28" s="296" t="s">
        <v>255</v>
      </c>
      <c r="G28" s="343">
        <v>30</v>
      </c>
      <c r="H28" s="296" t="s">
        <v>57</v>
      </c>
      <c r="I28" s="4">
        <v>85000000</v>
      </c>
      <c r="J28" s="4">
        <v>83999999</v>
      </c>
      <c r="K28" s="313">
        <f t="shared" si="5"/>
        <v>1000001</v>
      </c>
      <c r="L28" s="290">
        <v>0</v>
      </c>
      <c r="M28" s="315">
        <f t="shared" si="6"/>
        <v>0</v>
      </c>
      <c r="N28" s="290">
        <v>18</v>
      </c>
      <c r="O28" s="315">
        <f t="shared" si="7"/>
        <v>0.6</v>
      </c>
      <c r="P28" s="290">
        <v>3</v>
      </c>
      <c r="Q28" s="315">
        <f t="shared" si="8"/>
        <v>0.1</v>
      </c>
      <c r="R28" s="78">
        <f t="shared" si="38"/>
        <v>21</v>
      </c>
      <c r="S28" s="309">
        <f t="shared" si="34"/>
        <v>0.98823528235294122</v>
      </c>
      <c r="T28" s="309">
        <f t="shared" si="1"/>
        <v>0.7</v>
      </c>
      <c r="U28" s="309">
        <f t="shared" si="10"/>
        <v>0.84411764117647059</v>
      </c>
      <c r="V28" s="82" t="s">
        <v>824</v>
      </c>
      <c r="W28" s="4">
        <v>87213154</v>
      </c>
      <c r="X28" s="4">
        <v>29069284</v>
      </c>
      <c r="Y28" s="313">
        <f t="shared" si="45"/>
        <v>58143870</v>
      </c>
      <c r="Z28" s="290">
        <v>0</v>
      </c>
      <c r="AA28" s="315">
        <f t="shared" si="12"/>
        <v>0</v>
      </c>
      <c r="AB28" s="290">
        <v>0</v>
      </c>
      <c r="AC28" s="315">
        <f t="shared" si="13"/>
        <v>0</v>
      </c>
      <c r="AD28" s="290">
        <v>0</v>
      </c>
      <c r="AE28" s="315">
        <f t="shared" si="14"/>
        <v>0</v>
      </c>
      <c r="AF28" s="78">
        <f t="shared" si="40"/>
        <v>0</v>
      </c>
      <c r="AG28" s="309">
        <f t="shared" si="47"/>
        <v>0.3333130688061115</v>
      </c>
      <c r="AH28" s="309">
        <f t="shared" si="16"/>
        <v>0</v>
      </c>
      <c r="AI28" s="309">
        <f t="shared" si="17"/>
        <v>0.16665653440305575</v>
      </c>
      <c r="AJ28" s="82" t="s">
        <v>824</v>
      </c>
      <c r="AK28" s="4">
        <v>87213154</v>
      </c>
      <c r="AL28" s="312">
        <v>83999999</v>
      </c>
      <c r="AM28" s="313">
        <f t="shared" si="46"/>
        <v>3213155</v>
      </c>
      <c r="AN28" s="290">
        <v>0</v>
      </c>
      <c r="AO28" s="315">
        <f t="shared" si="19"/>
        <v>0</v>
      </c>
      <c r="AP28" s="290">
        <v>1</v>
      </c>
      <c r="AQ28" s="315">
        <f t="shared" si="20"/>
        <v>1.1846689978025715</v>
      </c>
      <c r="AR28" s="290">
        <v>1</v>
      </c>
      <c r="AS28" s="315">
        <f t="shared" si="21"/>
        <v>1.1846689978025715</v>
      </c>
      <c r="AT28" s="78">
        <f t="shared" si="3"/>
        <v>2</v>
      </c>
      <c r="AU28" s="338">
        <f t="shared" si="44"/>
        <v>0.96315744984982421</v>
      </c>
      <c r="AV28" s="338">
        <f t="shared" si="4"/>
        <v>2.369337995605143</v>
      </c>
      <c r="AW28" s="338">
        <f t="shared" si="22"/>
        <v>1.6662477227274837</v>
      </c>
      <c r="AX28" s="82" t="s">
        <v>825</v>
      </c>
      <c r="AY28" s="82">
        <v>0</v>
      </c>
      <c r="AZ28" s="82">
        <v>0</v>
      </c>
      <c r="BA28" s="82">
        <v>0</v>
      </c>
      <c r="BB28" s="339">
        <f t="shared" si="23"/>
        <v>23</v>
      </c>
      <c r="BC28" s="82" t="s">
        <v>826</v>
      </c>
    </row>
    <row r="29" spans="1:55" ht="36" customHeight="1" x14ac:dyDescent="0.25">
      <c r="A29" s="535"/>
      <c r="B29" s="292" t="s">
        <v>295</v>
      </c>
      <c r="C29" s="297" t="s">
        <v>296</v>
      </c>
      <c r="D29" s="24" t="s">
        <v>297</v>
      </c>
      <c r="E29" s="2">
        <f>[1]SEGUIMIENTO!E123</f>
        <v>301</v>
      </c>
      <c r="F29" s="306" t="s">
        <v>255</v>
      </c>
      <c r="G29" s="343">
        <v>9386</v>
      </c>
      <c r="H29" s="306" t="s">
        <v>57</v>
      </c>
      <c r="I29" s="4">
        <v>50000000</v>
      </c>
      <c r="J29" s="311">
        <v>50000000</v>
      </c>
      <c r="K29" s="313">
        <f t="shared" si="5"/>
        <v>0</v>
      </c>
      <c r="L29" s="76">
        <v>844</v>
      </c>
      <c r="M29" s="76">
        <v>844</v>
      </c>
      <c r="N29" s="76">
        <v>844</v>
      </c>
      <c r="O29" s="76">
        <v>844</v>
      </c>
      <c r="P29" s="76">
        <v>844</v>
      </c>
      <c r="Q29" s="76">
        <v>844</v>
      </c>
      <c r="R29" s="76">
        <v>844</v>
      </c>
      <c r="S29" s="76">
        <v>844</v>
      </c>
      <c r="T29" s="76">
        <v>844</v>
      </c>
      <c r="U29" s="76">
        <v>844</v>
      </c>
      <c r="V29" s="76">
        <v>844</v>
      </c>
      <c r="W29" s="76">
        <v>844</v>
      </c>
      <c r="X29" s="76">
        <v>844</v>
      </c>
      <c r="Y29" s="76">
        <v>844</v>
      </c>
      <c r="Z29" s="76">
        <v>844</v>
      </c>
      <c r="AA29" s="76">
        <v>844</v>
      </c>
      <c r="AB29" s="76">
        <v>844</v>
      </c>
      <c r="AC29" s="76">
        <v>844</v>
      </c>
      <c r="AD29" s="76">
        <v>844</v>
      </c>
      <c r="AE29" s="76">
        <v>844</v>
      </c>
      <c r="AF29" s="76">
        <v>844</v>
      </c>
      <c r="AG29" s="76">
        <v>844</v>
      </c>
      <c r="AH29" s="76">
        <v>844</v>
      </c>
      <c r="AI29" s="76">
        <v>844</v>
      </c>
      <c r="AJ29" s="76">
        <v>844</v>
      </c>
      <c r="AK29" s="76">
        <v>844</v>
      </c>
      <c r="AL29" s="76">
        <v>844</v>
      </c>
      <c r="AM29" s="76">
        <v>844</v>
      </c>
      <c r="AN29" s="76">
        <v>844</v>
      </c>
      <c r="AO29" s="76">
        <v>844</v>
      </c>
      <c r="AP29" s="76">
        <v>844</v>
      </c>
      <c r="AQ29" s="76">
        <v>844</v>
      </c>
      <c r="AR29" s="76">
        <v>844</v>
      </c>
      <c r="AS29" s="76">
        <v>844</v>
      </c>
      <c r="AT29" s="76">
        <v>844</v>
      </c>
      <c r="AU29" s="76">
        <v>844</v>
      </c>
      <c r="AV29" s="76">
        <v>844</v>
      </c>
      <c r="AW29" s="76">
        <v>844</v>
      </c>
      <c r="AX29" s="76">
        <v>844</v>
      </c>
      <c r="AY29" s="76">
        <v>844</v>
      </c>
      <c r="AZ29" s="76">
        <v>844</v>
      </c>
      <c r="BA29" s="76">
        <v>844</v>
      </c>
      <c r="BB29" s="339">
        <f t="shared" si="23"/>
        <v>10128</v>
      </c>
      <c r="BC29" s="79" t="s">
        <v>827</v>
      </c>
    </row>
    <row r="30" spans="1:55" ht="34.5" customHeight="1" x14ac:dyDescent="0.25">
      <c r="A30" s="15"/>
      <c r="B30" s="405" t="s">
        <v>298</v>
      </c>
      <c r="C30" s="405"/>
      <c r="D30" s="405"/>
      <c r="E30" s="405"/>
      <c r="F30" s="405"/>
      <c r="G30" s="291"/>
      <c r="H30" s="291"/>
      <c r="I30" s="14">
        <f>SUM(I4:I29)</f>
        <v>3206746505</v>
      </c>
      <c r="J30" s="14">
        <f>SUM(J4:J29)</f>
        <v>3139670207</v>
      </c>
      <c r="K30" s="14">
        <f>SUM(K4:K29)</f>
        <v>67076298</v>
      </c>
      <c r="L30" s="15"/>
      <c r="M30" s="15"/>
      <c r="N30" s="15"/>
      <c r="O30" s="15"/>
      <c r="P30" s="15"/>
      <c r="Q30" s="15"/>
      <c r="R30" s="15"/>
      <c r="S30" s="309">
        <f t="shared" si="34"/>
        <v>0.97908275634029263</v>
      </c>
      <c r="T30" s="309">
        <f t="shared" si="1"/>
        <v>0</v>
      </c>
      <c r="U30" s="309">
        <f t="shared" si="10"/>
        <v>0.48954137817014631</v>
      </c>
      <c r="V30" s="15"/>
      <c r="W30" s="14">
        <f>SUM(W4:W29)</f>
        <v>3010840677</v>
      </c>
      <c r="X30" s="14">
        <f>SUM(X4:X29)</f>
        <v>1478976324</v>
      </c>
      <c r="Y30" s="14">
        <f>SUM(Y4:Y29)</f>
        <v>1531865197</v>
      </c>
      <c r="Z30" s="15"/>
      <c r="AA30" s="15"/>
      <c r="AB30" s="15"/>
      <c r="AC30" s="15"/>
      <c r="AD30" s="15"/>
      <c r="AE30" s="15"/>
      <c r="AF30" s="15"/>
      <c r="AG30" s="309">
        <f t="shared" si="47"/>
        <v>0.49121706614966132</v>
      </c>
      <c r="AH30" s="309">
        <f t="shared" ref="AH30" si="48">AA30+AC30+AE30</f>
        <v>0</v>
      </c>
      <c r="AI30" s="309">
        <f t="shared" si="17"/>
        <v>0.24560853307483066</v>
      </c>
      <c r="AJ30" s="15"/>
      <c r="AK30" s="14">
        <f>SUM(AK4:AK29)</f>
        <v>3010840677</v>
      </c>
      <c r="AL30" s="14">
        <f>SUM(AL4:AL29)</f>
        <v>2478839094</v>
      </c>
      <c r="AM30" s="14">
        <f>SUM(AM4:AM29)</f>
        <v>532002427</v>
      </c>
      <c r="AN30" s="15"/>
      <c r="AO30" s="15"/>
      <c r="AP30" s="15"/>
      <c r="AQ30" s="15"/>
      <c r="AR30" s="15"/>
      <c r="AS30" s="15"/>
      <c r="AT30" s="15"/>
      <c r="AU30" s="15"/>
      <c r="AV30" s="15"/>
      <c r="AW30" s="15"/>
      <c r="AX30" s="15"/>
      <c r="AY30" s="349"/>
      <c r="AZ30" s="349"/>
      <c r="BA30" s="349"/>
      <c r="BB30" s="16"/>
      <c r="BC30" s="15"/>
    </row>
    <row r="31" spans="1:55" s="16" customFormat="1" ht="21" customHeight="1" x14ac:dyDescent="0.25">
      <c r="A31"/>
      <c r="B31"/>
      <c r="C31"/>
      <c r="D31"/>
      <c r="E31"/>
      <c r="F31"/>
      <c r="G31" s="55"/>
      <c r="H31"/>
      <c r="I31" s="40"/>
      <c r="J31" s="40"/>
      <c r="K31" s="40"/>
      <c r="L31"/>
      <c r="M31"/>
      <c r="N31"/>
      <c r="O31"/>
      <c r="P31"/>
      <c r="Q31"/>
      <c r="R31"/>
      <c r="S31"/>
      <c r="T31"/>
      <c r="U31"/>
      <c r="V31"/>
      <c r="W31" s="40">
        <f>W30-[1]SEGUIMIENTO!W124</f>
        <v>-49999156</v>
      </c>
      <c r="X31" s="40">
        <f>X30-[1]SEGUIMIENTO!X124</f>
        <v>-36095180</v>
      </c>
      <c r="Y31" s="40">
        <f>Y30-[1]SEGUIMIENTO!Y124</f>
        <v>-13903132</v>
      </c>
      <c r="Z31"/>
      <c r="AA31"/>
      <c r="AB31"/>
      <c r="AC31"/>
      <c r="AD31"/>
      <c r="AE31"/>
      <c r="AF31"/>
      <c r="AG31"/>
      <c r="AH31"/>
      <c r="AI31"/>
      <c r="AJ31"/>
      <c r="AK31"/>
      <c r="AL31"/>
      <c r="AM31"/>
      <c r="AN31"/>
      <c r="AO31"/>
      <c r="AP31"/>
      <c r="AQ31"/>
      <c r="AR31"/>
      <c r="AS31"/>
      <c r="AT31"/>
      <c r="AU31"/>
      <c r="AV31"/>
      <c r="AW31"/>
      <c r="AX31"/>
      <c r="AY31"/>
      <c r="AZ31"/>
      <c r="BA31"/>
      <c r="BB31"/>
      <c r="BC31"/>
    </row>
  </sheetData>
  <mergeCells count="155">
    <mergeCell ref="A1:B1"/>
    <mergeCell ref="C1:E1"/>
    <mergeCell ref="F1:H1"/>
    <mergeCell ref="V1:V3"/>
    <mergeCell ref="A2:A3"/>
    <mergeCell ref="B2:B3"/>
    <mergeCell ref="C2:C3"/>
    <mergeCell ref="D2:D3"/>
    <mergeCell ref="E2:E3"/>
    <mergeCell ref="F2:F3"/>
    <mergeCell ref="I1:I2"/>
    <mergeCell ref="J1:J2"/>
    <mergeCell ref="K1:K2"/>
    <mergeCell ref="L1:Q1"/>
    <mergeCell ref="R1:R3"/>
    <mergeCell ref="P2:Q2"/>
    <mergeCell ref="S3:U3"/>
    <mergeCell ref="S1:S2"/>
    <mergeCell ref="T1:T2"/>
    <mergeCell ref="U1:U2"/>
    <mergeCell ref="A4:A29"/>
    <mergeCell ref="N2:O2"/>
    <mergeCell ref="F8:F9"/>
    <mergeCell ref="F12:F15"/>
    <mergeCell ref="F10:F11"/>
    <mergeCell ref="I3:K3"/>
    <mergeCell ref="J8:J9"/>
    <mergeCell ref="I8:I9"/>
    <mergeCell ref="K8:K9"/>
    <mergeCell ref="G2:G3"/>
    <mergeCell ref="H2:H3"/>
    <mergeCell ref="L2:M2"/>
    <mergeCell ref="B4:B15"/>
    <mergeCell ref="I10:I11"/>
    <mergeCell ref="K10:K11"/>
    <mergeCell ref="I12:I15"/>
    <mergeCell ref="K12:K15"/>
    <mergeCell ref="J10:J11"/>
    <mergeCell ref="J12:J15"/>
    <mergeCell ref="J18:J20"/>
    <mergeCell ref="K18:K20"/>
    <mergeCell ref="S18:S20"/>
    <mergeCell ref="S23:S26"/>
    <mergeCell ref="B23:B28"/>
    <mergeCell ref="C23:C26"/>
    <mergeCell ref="I23:I26"/>
    <mergeCell ref="J23:J26"/>
    <mergeCell ref="K23:K26"/>
    <mergeCell ref="C8:C9"/>
    <mergeCell ref="D8:D9"/>
    <mergeCell ref="E8:E9"/>
    <mergeCell ref="C12:C15"/>
    <mergeCell ref="D12:D15"/>
    <mergeCell ref="E12:E15"/>
    <mergeCell ref="C10:C11"/>
    <mergeCell ref="E10:E11"/>
    <mergeCell ref="D10:D11"/>
    <mergeCell ref="W1:W2"/>
    <mergeCell ref="X1:X2"/>
    <mergeCell ref="Y1:Y2"/>
    <mergeCell ref="Z1:AE1"/>
    <mergeCell ref="AF1:AF3"/>
    <mergeCell ref="W3:Y3"/>
    <mergeCell ref="V6:V7"/>
    <mergeCell ref="S8:S9"/>
    <mergeCell ref="S10:S11"/>
    <mergeCell ref="T8:T9"/>
    <mergeCell ref="U8:U9"/>
    <mergeCell ref="AV1:AV2"/>
    <mergeCell ref="AW1:AW2"/>
    <mergeCell ref="AX1:AX3"/>
    <mergeCell ref="AY1:BA1"/>
    <mergeCell ref="Z2:AA2"/>
    <mergeCell ref="AB2:AC2"/>
    <mergeCell ref="AD2:AE2"/>
    <mergeCell ref="AN2:AO2"/>
    <mergeCell ref="AP2:AQ2"/>
    <mergeCell ref="AR2:AS2"/>
    <mergeCell ref="AG3:AI3"/>
    <mergeCell ref="AK3:AM3"/>
    <mergeCell ref="AU3:AW3"/>
    <mergeCell ref="AL1:AL2"/>
    <mergeCell ref="AM1:AM2"/>
    <mergeCell ref="AN1:AS1"/>
    <mergeCell ref="AT1:AT3"/>
    <mergeCell ref="AU1:AU2"/>
    <mergeCell ref="AG1:AG2"/>
    <mergeCell ref="AH1:AH2"/>
    <mergeCell ref="AI1:AI2"/>
    <mergeCell ref="AJ1:AJ3"/>
    <mergeCell ref="AK1:AK2"/>
    <mergeCell ref="AM8:AM9"/>
    <mergeCell ref="BC8:BC9"/>
    <mergeCell ref="W10:W11"/>
    <mergeCell ref="X10:X11"/>
    <mergeCell ref="Y10:Y11"/>
    <mergeCell ref="AG10:AG11"/>
    <mergeCell ref="AJ10:AJ11"/>
    <mergeCell ref="AK10:AK11"/>
    <mergeCell ref="AM10:AM11"/>
    <mergeCell ref="AX10:AX11"/>
    <mergeCell ref="BC10:BC11"/>
    <mergeCell ref="W8:W9"/>
    <mergeCell ref="X8:X9"/>
    <mergeCell ref="Y8:Y9"/>
    <mergeCell ref="AG8:AG9"/>
    <mergeCell ref="AK8:AK9"/>
    <mergeCell ref="E18:E20"/>
    <mergeCell ref="F18:F20"/>
    <mergeCell ref="I18:I20"/>
    <mergeCell ref="AM12:AM15"/>
    <mergeCell ref="B16:B17"/>
    <mergeCell ref="C16:C17"/>
    <mergeCell ref="D16:D17"/>
    <mergeCell ref="E16:E17"/>
    <mergeCell ref="I16:I17"/>
    <mergeCell ref="J16:J17"/>
    <mergeCell ref="K16:K17"/>
    <mergeCell ref="S16:S17"/>
    <mergeCell ref="W16:W17"/>
    <mergeCell ref="X16:X17"/>
    <mergeCell ref="Y16:Y17"/>
    <mergeCell ref="AG16:AG17"/>
    <mergeCell ref="AK16:AK17"/>
    <mergeCell ref="AM16:AM17"/>
    <mergeCell ref="W12:W15"/>
    <mergeCell ref="X12:X15"/>
    <mergeCell ref="Y12:Y15"/>
    <mergeCell ref="AG12:AG15"/>
    <mergeCell ref="AK12:AK15"/>
    <mergeCell ref="S12:S15"/>
    <mergeCell ref="AG23:AG26"/>
    <mergeCell ref="B30:F30"/>
    <mergeCell ref="BC1:BC3"/>
    <mergeCell ref="AL18:AL20"/>
    <mergeCell ref="AM18:AM20"/>
    <mergeCell ref="AX18:AX20"/>
    <mergeCell ref="BC18:BC20"/>
    <mergeCell ref="B21:B22"/>
    <mergeCell ref="C21:C22"/>
    <mergeCell ref="E21:E22"/>
    <mergeCell ref="F21:F22"/>
    <mergeCell ref="I21:I22"/>
    <mergeCell ref="J21:J22"/>
    <mergeCell ref="K21:K22"/>
    <mergeCell ref="S21:S22"/>
    <mergeCell ref="V21:V22"/>
    <mergeCell ref="AG21:AG22"/>
    <mergeCell ref="W18:W20"/>
    <mergeCell ref="X18:X20"/>
    <mergeCell ref="Y18:Y20"/>
    <mergeCell ref="AG18:AG20"/>
    <mergeCell ref="AK18:AK20"/>
    <mergeCell ref="B18:B20"/>
    <mergeCell ref="C18:C20"/>
  </mergeCells>
  <conditionalFormatting sqref="S16:T16 S18:T18 T17 S21:T21 T19:T20 S23:T23 T22 T24:T26 S27:T29">
    <cfRule type="cellIs" dxfId="552" priority="30" operator="greaterThan">
      <formula>24%</formula>
    </cfRule>
    <cfRule type="cellIs" dxfId="551" priority="31" operator="between">
      <formula>20%</formula>
      <formula>24%</formula>
    </cfRule>
    <cfRule type="cellIs" dxfId="550" priority="32" operator="between">
      <formula>9%</formula>
      <formula>19%</formula>
    </cfRule>
    <cfRule type="cellIs" dxfId="549" priority="33" operator="lessThan">
      <formula>9%</formula>
    </cfRule>
  </conditionalFormatting>
  <conditionalFormatting sqref="S30:T30">
    <cfRule type="cellIs" dxfId="548" priority="26" operator="greaterThan">
      <formula>24%</formula>
    </cfRule>
    <cfRule type="cellIs" dxfId="547" priority="27" operator="between">
      <formula>20%</formula>
      <formula>24%</formula>
    </cfRule>
    <cfRule type="cellIs" dxfId="546" priority="28" operator="between">
      <formula>9%</formula>
      <formula>19%</formula>
    </cfRule>
    <cfRule type="cellIs" dxfId="545" priority="29" operator="lessThan">
      <formula>9%</formula>
    </cfRule>
  </conditionalFormatting>
  <conditionalFormatting sqref="S4:U4 S10:T10 S12:T12 T11 T13:T15 S5:T8 U10:U30 AH5:AH29 AI5:AI30">
    <cfRule type="cellIs" dxfId="544" priority="22" operator="greaterThan">
      <formula>50%</formula>
    </cfRule>
    <cfRule type="cellIs" dxfId="543" priority="23" operator="between">
      <formula>37%</formula>
      <formula>50%</formula>
    </cfRule>
    <cfRule type="cellIs" dxfId="542" priority="24" operator="between">
      <formula>16%</formula>
      <formula>37%</formula>
    </cfRule>
    <cfRule type="cellIs" dxfId="541" priority="25" operator="lessThan">
      <formula>16%</formula>
    </cfRule>
  </conditionalFormatting>
  <conditionalFormatting sqref="U5:U8">
    <cfRule type="cellIs" dxfId="540" priority="18" operator="greaterThan">
      <formula>50%</formula>
    </cfRule>
    <cfRule type="cellIs" dxfId="539" priority="19" operator="between">
      <formula>37%</formula>
      <formula>50%</formula>
    </cfRule>
    <cfRule type="cellIs" dxfId="538" priority="20" operator="between">
      <formula>16%</formula>
      <formula>37%</formula>
    </cfRule>
    <cfRule type="cellIs" dxfId="537" priority="21" operator="lessThan">
      <formula>16%</formula>
    </cfRule>
  </conditionalFormatting>
  <conditionalFormatting sqref="AG16 AG18 AG21 AG23 AG27:AG29">
    <cfRule type="cellIs" dxfId="536" priority="14" operator="greaterThan">
      <formula>24%</formula>
    </cfRule>
    <cfRule type="cellIs" dxfId="535" priority="15" operator="between">
      <formula>20%</formula>
      <formula>24%</formula>
    </cfRule>
    <cfRule type="cellIs" dxfId="534" priority="16" operator="between">
      <formula>9%</formula>
      <formula>19%</formula>
    </cfRule>
    <cfRule type="cellIs" dxfId="533" priority="17" operator="lessThan">
      <formula>9%</formula>
    </cfRule>
  </conditionalFormatting>
  <conditionalFormatting sqref="AG30:AH30">
    <cfRule type="cellIs" dxfId="532" priority="10" operator="greaterThan">
      <formula>24%</formula>
    </cfRule>
    <cfRule type="cellIs" dxfId="531" priority="11" operator="between">
      <formula>20%</formula>
      <formula>24%</formula>
    </cfRule>
    <cfRule type="cellIs" dxfId="530" priority="12" operator="between">
      <formula>9%</formula>
      <formula>19%</formula>
    </cfRule>
    <cfRule type="cellIs" dxfId="529" priority="13" operator="lessThan">
      <formula>9%</formula>
    </cfRule>
  </conditionalFormatting>
  <conditionalFormatting sqref="AG4:AI4 AG10 AG12 AG5:AG8">
    <cfRule type="cellIs" dxfId="528" priority="6" operator="greaterThan">
      <formula>50%</formula>
    </cfRule>
    <cfRule type="cellIs" dxfId="527" priority="7" operator="between">
      <formula>37%</formula>
      <formula>50%</formula>
    </cfRule>
    <cfRule type="cellIs" dxfId="526" priority="8" operator="between">
      <formula>16%</formula>
      <formula>37%</formula>
    </cfRule>
    <cfRule type="cellIs" dxfId="525" priority="9" operator="lessThan">
      <formula>16%</formula>
    </cfRule>
  </conditionalFormatting>
  <conditionalFormatting sqref="AU4:AW29">
    <cfRule type="cellIs" dxfId="524" priority="1" operator="equal">
      <formula>0</formula>
    </cfRule>
  </conditionalFormatting>
  <conditionalFormatting sqref="AU4:AW29">
    <cfRule type="cellIs" dxfId="523" priority="2" operator="greaterThan">
      <formula>74.1%</formula>
    </cfRule>
    <cfRule type="cellIs" dxfId="522" priority="3" operator="between">
      <formula>56.1%</formula>
      <formula>74%</formula>
    </cfRule>
    <cfRule type="cellIs" dxfId="521" priority="4" operator="between">
      <formula>25.1%</formula>
      <formula>56%</formula>
    </cfRule>
    <cfRule type="cellIs" dxfId="520" priority="5" operator="lessThanOrEqual">
      <formula>25%</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41"/>
  <sheetViews>
    <sheetView showGridLines="0" topLeftCell="A4" zoomScale="70" zoomScaleNormal="70" zoomScalePageLayoutView="50" workbookViewId="0">
      <pane xSplit="3" ySplit="4" topLeftCell="J8" activePane="bottomRight" state="frozen"/>
      <selection activeCell="A4" sqref="A4"/>
      <selection pane="topRight" activeCell="D4" sqref="D4"/>
      <selection pane="bottomLeft" activeCell="A8" sqref="A8"/>
      <selection pane="bottomRight" activeCell="V12" sqref="V12"/>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21" width="14.28515625" customWidth="1"/>
    <col min="22" max="22" width="85.28515625" customWidth="1"/>
  </cols>
  <sheetData>
    <row r="1" spans="1:22" ht="15.75" x14ac:dyDescent="0.25">
      <c r="A1" s="423"/>
      <c r="B1" s="424" t="s">
        <v>356</v>
      </c>
      <c r="C1" s="424"/>
      <c r="D1" s="424"/>
      <c r="E1" s="424"/>
      <c r="F1" s="424"/>
      <c r="G1" s="424"/>
      <c r="H1" s="424"/>
      <c r="I1" s="424"/>
      <c r="J1" s="423"/>
      <c r="K1" s="423"/>
      <c r="L1" s="302"/>
      <c r="M1" s="302"/>
      <c r="N1" s="302"/>
      <c r="O1" s="302"/>
      <c r="P1" s="302"/>
      <c r="Q1" s="302"/>
      <c r="R1" s="302"/>
      <c r="S1" s="302"/>
      <c r="T1" s="302"/>
      <c r="U1" s="302"/>
      <c r="V1" s="423"/>
    </row>
    <row r="2" spans="1:22" ht="15.75" x14ac:dyDescent="0.25">
      <c r="A2" s="423"/>
      <c r="B2" s="424" t="s">
        <v>357</v>
      </c>
      <c r="C2" s="424"/>
      <c r="D2" s="424"/>
      <c r="E2" s="424"/>
      <c r="F2" s="424"/>
      <c r="G2" s="424"/>
      <c r="H2" s="424"/>
      <c r="I2" s="424"/>
      <c r="J2" s="423"/>
      <c r="K2" s="423"/>
      <c r="L2" s="302"/>
      <c r="M2" s="302"/>
      <c r="N2" s="302"/>
      <c r="O2" s="302"/>
      <c r="P2" s="302"/>
      <c r="Q2" s="302"/>
      <c r="R2" s="302"/>
      <c r="S2" s="302"/>
      <c r="T2" s="302"/>
      <c r="U2" s="302"/>
      <c r="V2" s="423"/>
    </row>
    <row r="3" spans="1:22" ht="15.75" x14ac:dyDescent="0.25">
      <c r="A3" s="423"/>
      <c r="B3" s="425" t="s">
        <v>358</v>
      </c>
      <c r="C3" s="425"/>
      <c r="D3" s="425"/>
      <c r="E3" s="425"/>
      <c r="F3" s="425"/>
      <c r="G3" s="425"/>
      <c r="H3" s="425"/>
      <c r="I3" s="425"/>
      <c r="J3" s="423"/>
      <c r="K3" s="423"/>
      <c r="L3" s="302"/>
      <c r="M3" s="302"/>
      <c r="N3" s="302"/>
      <c r="O3" s="302"/>
      <c r="P3" s="302"/>
      <c r="Q3" s="302"/>
      <c r="R3" s="302"/>
      <c r="S3" s="302"/>
      <c r="T3" s="302"/>
      <c r="U3" s="302"/>
      <c r="V3" s="423"/>
    </row>
    <row r="4" spans="1:22" ht="15.75" x14ac:dyDescent="0.25">
      <c r="A4" s="303" t="s">
        <v>359</v>
      </c>
      <c r="B4" s="429" t="s">
        <v>360</v>
      </c>
      <c r="C4" s="429"/>
      <c r="D4" s="303" t="s">
        <v>361</v>
      </c>
      <c r="E4" s="429">
        <v>1</v>
      </c>
      <c r="F4" s="429"/>
      <c r="G4" s="424" t="s">
        <v>362</v>
      </c>
      <c r="H4" s="424"/>
      <c r="I4" s="425">
        <v>2016</v>
      </c>
      <c r="J4" s="425"/>
      <c r="K4" s="425"/>
      <c r="L4" s="304"/>
      <c r="M4" s="304"/>
      <c r="N4" s="304"/>
      <c r="O4" s="304"/>
      <c r="P4" s="304"/>
      <c r="Q4" s="304"/>
      <c r="R4" s="304"/>
      <c r="S4" s="304"/>
      <c r="T4" s="304"/>
      <c r="U4" s="304"/>
      <c r="V4" s="304"/>
    </row>
    <row r="5" spans="1:22" ht="15" customHeight="1" x14ac:dyDescent="0.25">
      <c r="A5" s="452" t="s">
        <v>363</v>
      </c>
      <c r="B5" s="453"/>
      <c r="C5" s="449" t="s">
        <v>364</v>
      </c>
      <c r="D5" s="450"/>
      <c r="E5" s="451"/>
      <c r="F5" s="455"/>
      <c r="G5" s="456"/>
      <c r="H5" s="457"/>
      <c r="I5" s="427" t="s">
        <v>0</v>
      </c>
      <c r="J5" s="427" t="s">
        <v>1</v>
      </c>
      <c r="K5" s="427" t="s">
        <v>2</v>
      </c>
      <c r="L5" s="437" t="s">
        <v>3</v>
      </c>
      <c r="M5" s="437"/>
      <c r="N5" s="437"/>
      <c r="O5" s="437"/>
      <c r="P5" s="437"/>
      <c r="Q5" s="437"/>
      <c r="R5" s="437" t="s">
        <v>701</v>
      </c>
      <c r="S5" s="459" t="s">
        <v>5</v>
      </c>
      <c r="T5" s="454" t="s">
        <v>6</v>
      </c>
      <c r="U5" s="459" t="s">
        <v>7</v>
      </c>
      <c r="V5" s="430" t="s">
        <v>8</v>
      </c>
    </row>
    <row r="6" spans="1:22" ht="28.5" customHeight="1" x14ac:dyDescent="0.25">
      <c r="A6" s="426" t="s">
        <v>9</v>
      </c>
      <c r="B6" s="426" t="s">
        <v>10</v>
      </c>
      <c r="C6" s="441" t="s">
        <v>11</v>
      </c>
      <c r="D6" s="426" t="s">
        <v>12</v>
      </c>
      <c r="E6" s="443" t="s">
        <v>13</v>
      </c>
      <c r="F6" s="445" t="s">
        <v>14</v>
      </c>
      <c r="G6" s="445" t="s">
        <v>15</v>
      </c>
      <c r="H6" s="445" t="s">
        <v>16</v>
      </c>
      <c r="I6" s="427"/>
      <c r="J6" s="427"/>
      <c r="K6" s="427"/>
      <c r="L6" s="437" t="s">
        <v>698</v>
      </c>
      <c r="M6" s="437"/>
      <c r="N6" s="437" t="s">
        <v>702</v>
      </c>
      <c r="O6" s="437"/>
      <c r="P6" s="437" t="s">
        <v>700</v>
      </c>
      <c r="Q6" s="437"/>
      <c r="R6" s="437"/>
      <c r="S6" s="459"/>
      <c r="T6" s="454"/>
      <c r="U6" s="459"/>
      <c r="V6" s="430"/>
    </row>
    <row r="7" spans="1:22" ht="23.25" customHeight="1" x14ac:dyDescent="0.25">
      <c r="A7" s="426"/>
      <c r="B7" s="426"/>
      <c r="C7" s="442"/>
      <c r="D7" s="426"/>
      <c r="E7" s="444"/>
      <c r="F7" s="446"/>
      <c r="G7" s="446"/>
      <c r="H7" s="446"/>
      <c r="I7" s="460" t="s">
        <v>17</v>
      </c>
      <c r="J7" s="461"/>
      <c r="K7" s="462"/>
      <c r="L7" s="305" t="s">
        <v>18</v>
      </c>
      <c r="M7" s="305" t="s">
        <v>19</v>
      </c>
      <c r="N7" s="305" t="s">
        <v>18</v>
      </c>
      <c r="O7" s="305" t="s">
        <v>19</v>
      </c>
      <c r="P7" s="305" t="s">
        <v>18</v>
      </c>
      <c r="Q7" s="305" t="s">
        <v>19</v>
      </c>
      <c r="R7" s="437"/>
      <c r="S7" s="428" t="s">
        <v>20</v>
      </c>
      <c r="T7" s="428"/>
      <c r="U7" s="428"/>
      <c r="V7" s="430"/>
    </row>
    <row r="8" spans="1:22" ht="42.75" customHeight="1" x14ac:dyDescent="0.25">
      <c r="A8" s="419" t="s">
        <v>299</v>
      </c>
      <c r="B8" s="409" t="s">
        <v>300</v>
      </c>
      <c r="C8" s="295" t="str">
        <f>[2]SEGUIMIENTO!C125</f>
        <v>SA-PY 1.1</v>
      </c>
      <c r="D8" s="211" t="str">
        <f>[2]SEGUIMIENTO!D125</f>
        <v>Apoyo a la movilidad académica de docentes, estudiantes y personal administrativo y expertos invitados.</v>
      </c>
      <c r="E8" s="34">
        <f>[2]SEGUIMIENTO!E125</f>
        <v>510</v>
      </c>
      <c r="F8" s="307" t="s">
        <v>726</v>
      </c>
      <c r="G8" s="319">
        <v>7.0000000000000007E-2</v>
      </c>
      <c r="H8" s="307" t="s">
        <v>727</v>
      </c>
      <c r="I8" s="54">
        <v>12800000</v>
      </c>
      <c r="J8" s="54">
        <v>12800000</v>
      </c>
      <c r="K8" s="54">
        <v>0</v>
      </c>
      <c r="L8" s="54">
        <v>0</v>
      </c>
      <c r="M8" s="209">
        <v>0</v>
      </c>
      <c r="N8" s="54">
        <v>100</v>
      </c>
      <c r="O8" s="209">
        <v>1</v>
      </c>
      <c r="P8" s="54">
        <v>0</v>
      </c>
      <c r="Q8" s="209">
        <v>0</v>
      </c>
      <c r="R8" s="54"/>
      <c r="S8" s="309">
        <f>IFERROR((J8/I8),0)</f>
        <v>1</v>
      </c>
      <c r="T8" s="279">
        <f>R8</f>
        <v>0</v>
      </c>
      <c r="U8" s="309">
        <f>(S8+T8)/2</f>
        <v>0.5</v>
      </c>
      <c r="V8" s="320" t="s">
        <v>728</v>
      </c>
    </row>
    <row r="9" spans="1:22" s="20" customFormat="1" ht="69" customHeight="1" x14ac:dyDescent="0.25">
      <c r="A9" s="419"/>
      <c r="B9" s="409"/>
      <c r="C9" s="295" t="str">
        <f>[2]SEGUIMIENTO!C126</f>
        <v>SA-PY1.2</v>
      </c>
      <c r="D9" s="211" t="str">
        <f>[2]SEGUIMIENTO!D126</f>
        <v>Realización de dos eventos para la socialización del Proyecto de actualización del Manual de Convivencia Estudiantíl. Proceso Acreditación.</v>
      </c>
      <c r="E9" s="34">
        <f>[2]SEGUIMIENTO!E126</f>
        <v>510</v>
      </c>
      <c r="F9" s="296" t="s">
        <v>305</v>
      </c>
      <c r="G9" s="296">
        <v>2</v>
      </c>
      <c r="H9" s="307" t="s">
        <v>729</v>
      </c>
      <c r="I9" s="54">
        <v>1000000</v>
      </c>
      <c r="J9" s="54">
        <v>0</v>
      </c>
      <c r="K9" s="54">
        <v>1000000</v>
      </c>
      <c r="L9" s="54">
        <v>0</v>
      </c>
      <c r="M9" s="209">
        <v>0</v>
      </c>
      <c r="N9" s="54">
        <v>0</v>
      </c>
      <c r="O9" s="209">
        <v>0</v>
      </c>
      <c r="P9" s="54">
        <v>0</v>
      </c>
      <c r="Q9" s="209">
        <v>0</v>
      </c>
      <c r="R9" s="54"/>
      <c r="S9" s="309">
        <f t="shared" ref="S9:S27" si="0">IFERROR((J9/I9),0)</f>
        <v>0</v>
      </c>
      <c r="T9" s="279">
        <f t="shared" ref="T9:T27" si="1">R9</f>
        <v>0</v>
      </c>
      <c r="U9" s="309">
        <f t="shared" ref="U9:U27" si="2">(S9+T9)/2</f>
        <v>0</v>
      </c>
      <c r="V9" s="21"/>
    </row>
    <row r="10" spans="1:22" ht="42.75" x14ac:dyDescent="0.25">
      <c r="A10" s="419"/>
      <c r="B10" s="410"/>
      <c r="C10" s="295" t="str">
        <f>[2]SEGUIMIENTO!C127</f>
        <v>SA-PY1.3</v>
      </c>
      <c r="D10" s="211" t="str">
        <f>[2]SEGUIMIENTO!D127</f>
        <v>Realización de dos eventos para la socialización del Proyecto del Estatuto Docente. Proceso Acreditación.</v>
      </c>
      <c r="E10" s="34">
        <f>[2]SEGUIMIENTO!E127</f>
        <v>510</v>
      </c>
      <c r="F10" s="296" t="s">
        <v>308</v>
      </c>
      <c r="G10" s="296">
        <v>2</v>
      </c>
      <c r="H10" s="296" t="s">
        <v>729</v>
      </c>
      <c r="I10" s="54">
        <v>2000000</v>
      </c>
      <c r="J10" s="49">
        <v>0</v>
      </c>
      <c r="K10" s="54">
        <v>2000000</v>
      </c>
      <c r="L10" s="54">
        <v>0</v>
      </c>
      <c r="M10" s="209">
        <v>0</v>
      </c>
      <c r="N10" s="54">
        <v>0</v>
      </c>
      <c r="O10" s="209">
        <v>0</v>
      </c>
      <c r="P10" s="54">
        <v>0</v>
      </c>
      <c r="Q10" s="209">
        <v>0</v>
      </c>
      <c r="R10" s="54"/>
      <c r="S10" s="309">
        <f t="shared" si="0"/>
        <v>0</v>
      </c>
      <c r="T10" s="279">
        <f t="shared" si="1"/>
        <v>0</v>
      </c>
      <c r="U10" s="309">
        <f t="shared" si="2"/>
        <v>0</v>
      </c>
      <c r="V10" s="6"/>
    </row>
    <row r="11" spans="1:22" ht="30" customHeight="1" x14ac:dyDescent="0.25">
      <c r="A11" s="419"/>
      <c r="B11" s="408" t="s">
        <v>300</v>
      </c>
      <c r="C11" s="295" t="str">
        <f>[2]SEGUIMIENTO!C128</f>
        <v>SA-PY2a.1</v>
      </c>
      <c r="D11" s="211" t="str">
        <f>[2]SEGUIMIENTO!D128</f>
        <v>Construcción de infraestructura física en todas las Sedes.</v>
      </c>
      <c r="E11" s="295">
        <f>[2]SEGUIMIENTO!E128</f>
        <v>111</v>
      </c>
      <c r="F11" s="296" t="s">
        <v>308</v>
      </c>
      <c r="G11" s="321">
        <v>0.06</v>
      </c>
      <c r="H11" s="296" t="s">
        <v>730</v>
      </c>
      <c r="I11" s="54">
        <v>467316444</v>
      </c>
      <c r="J11" s="54">
        <v>166432628</v>
      </c>
      <c r="K11" s="54">
        <f>I11-J11</f>
        <v>300883816</v>
      </c>
      <c r="L11" s="54">
        <v>36</v>
      </c>
      <c r="M11" s="209">
        <v>0.36</v>
      </c>
      <c r="N11" s="54">
        <v>0</v>
      </c>
      <c r="O11" s="209">
        <v>0</v>
      </c>
      <c r="P11" s="54">
        <v>0</v>
      </c>
      <c r="Q11" s="209">
        <v>0</v>
      </c>
      <c r="R11" s="209">
        <f>M11+O11</f>
        <v>0.36</v>
      </c>
      <c r="S11" s="309">
        <f t="shared" si="0"/>
        <v>0.35614545590439356</v>
      </c>
      <c r="T11" s="279">
        <f t="shared" si="1"/>
        <v>0.36</v>
      </c>
      <c r="U11" s="309">
        <f t="shared" si="2"/>
        <v>0.3580727279521968</v>
      </c>
      <c r="V11" s="6" t="s">
        <v>731</v>
      </c>
    </row>
    <row r="12" spans="1:22" ht="167.25" customHeight="1" x14ac:dyDescent="0.25">
      <c r="A12" s="419"/>
      <c r="B12" s="409"/>
      <c r="C12" s="295" t="str">
        <f>[2]SEGUIMIENTO!C129</f>
        <v>SA-PY2a.2</v>
      </c>
      <c r="D12" s="211" t="str">
        <f>[2]SEGUIMIENTO!D129</f>
        <v>Adecuaciones, mantenimientos y mejoras en infraestructura de todas las sedes.</v>
      </c>
      <c r="E12" s="295">
        <f>[2]SEGUIMIENTO!E129</f>
        <v>111</v>
      </c>
      <c r="F12" s="296" t="s">
        <v>308</v>
      </c>
      <c r="G12" s="296">
        <v>3300</v>
      </c>
      <c r="H12" s="296" t="s">
        <v>730</v>
      </c>
      <c r="I12" s="54">
        <v>1984989866</v>
      </c>
      <c r="J12" s="54">
        <v>1498536761</v>
      </c>
      <c r="K12" s="54">
        <f>I12-J12</f>
        <v>486453105</v>
      </c>
      <c r="L12" s="54" t="s">
        <v>732</v>
      </c>
      <c r="M12" s="314">
        <v>5.8999999999999999E-3</v>
      </c>
      <c r="N12" s="54" t="s">
        <v>733</v>
      </c>
      <c r="O12" s="314">
        <v>7.1000000000000004E-3</v>
      </c>
      <c r="P12" s="54">
        <v>0</v>
      </c>
      <c r="Q12" s="209">
        <v>0</v>
      </c>
      <c r="R12" s="322">
        <f>SUM(M12+O12)</f>
        <v>1.3000000000000001E-2</v>
      </c>
      <c r="S12" s="309">
        <f t="shared" si="0"/>
        <v>0.75493421234423574</v>
      </c>
      <c r="T12" s="279">
        <f t="shared" si="1"/>
        <v>1.3000000000000001E-2</v>
      </c>
      <c r="U12" s="309">
        <f t="shared" si="2"/>
        <v>0.38396710617211788</v>
      </c>
      <c r="V12" s="30" t="s">
        <v>734</v>
      </c>
    </row>
    <row r="13" spans="1:22" ht="24" x14ac:dyDescent="0.25">
      <c r="A13" s="419"/>
      <c r="B13" s="409"/>
      <c r="C13" s="295" t="str">
        <f>[2]SEGUIMIENTO!C130</f>
        <v>SA-PY2a.3</v>
      </c>
      <c r="D13" s="211" t="str">
        <f>[2]SEGUIMIENTO!D130</f>
        <v>Avalúos, estudios y diseños de obras civiles varias.</v>
      </c>
      <c r="E13" s="295">
        <f>[2]SEGUIMIENTO!E130</f>
        <v>111</v>
      </c>
      <c r="F13" s="296" t="s">
        <v>312</v>
      </c>
      <c r="G13" s="323" t="s">
        <v>735</v>
      </c>
      <c r="H13" s="323" t="s">
        <v>735</v>
      </c>
      <c r="I13" s="323" t="s">
        <v>735</v>
      </c>
      <c r="J13" s="323" t="s">
        <v>735</v>
      </c>
      <c r="K13" s="324">
        <v>0</v>
      </c>
      <c r="L13" s="325"/>
      <c r="M13" s="326">
        <f t="shared" ref="M13" si="3">K13-L13</f>
        <v>0</v>
      </c>
      <c r="N13" s="326"/>
      <c r="O13" s="327">
        <f t="shared" ref="O13" si="4">IFERROR((N13/I13),0)</f>
        <v>0</v>
      </c>
      <c r="P13" s="326">
        <v>0</v>
      </c>
      <c r="Q13" s="327">
        <f t="shared" ref="Q13" si="5">IFERROR((P13/I13),0)</f>
        <v>0</v>
      </c>
      <c r="R13" s="327">
        <v>0</v>
      </c>
      <c r="S13" s="309">
        <f t="shared" si="0"/>
        <v>0</v>
      </c>
      <c r="T13" s="279">
        <f t="shared" si="1"/>
        <v>0</v>
      </c>
      <c r="U13" s="309">
        <f t="shared" si="2"/>
        <v>0</v>
      </c>
      <c r="V13" s="19"/>
    </row>
    <row r="14" spans="1:22" ht="79.5" customHeight="1" x14ac:dyDescent="0.25">
      <c r="A14" s="419"/>
      <c r="B14" s="408" t="s">
        <v>309</v>
      </c>
      <c r="C14" s="295" t="str">
        <f>[2]SEGUIMIENTO!C131</f>
        <v>SA-PY2b.1</v>
      </c>
      <c r="D14" s="211" t="str">
        <f>[2]SEGUIMIENTO!D131</f>
        <v>Dotación de equipos, accesorios, reactivos e insumos para  laboratorios de todas las Sedes.</v>
      </c>
      <c r="E14" s="295">
        <f>[2]SEGUIMIENTO!E131</f>
        <v>211</v>
      </c>
      <c r="F14" s="296" t="s">
        <v>316</v>
      </c>
      <c r="G14" s="296">
        <v>1641</v>
      </c>
      <c r="H14" s="296" t="s">
        <v>313</v>
      </c>
      <c r="I14" s="54">
        <v>1641341785</v>
      </c>
      <c r="J14" s="54">
        <v>1362084851</v>
      </c>
      <c r="K14" s="54">
        <f t="shared" ref="K14:K19" si="6">I14-J14</f>
        <v>279256934</v>
      </c>
      <c r="L14" s="54">
        <v>30</v>
      </c>
      <c r="M14" s="314">
        <v>6.1999999999999998E-3</v>
      </c>
      <c r="N14" s="54">
        <v>28</v>
      </c>
      <c r="O14" s="314">
        <v>5.7999999999999996E-3</v>
      </c>
      <c r="P14" s="54">
        <v>0</v>
      </c>
      <c r="Q14" s="209">
        <v>0</v>
      </c>
      <c r="R14" s="322">
        <f>SUM(M14+O14)</f>
        <v>1.2E-2</v>
      </c>
      <c r="S14" s="309">
        <f t="shared" si="0"/>
        <v>0.82986058324226475</v>
      </c>
      <c r="T14" s="279">
        <f t="shared" si="1"/>
        <v>1.2E-2</v>
      </c>
      <c r="U14" s="309">
        <f t="shared" si="2"/>
        <v>0.42093029162113238</v>
      </c>
      <c r="V14" s="328" t="s">
        <v>736</v>
      </c>
    </row>
    <row r="15" spans="1:22" s="20" customFormat="1" ht="90.75" customHeight="1" x14ac:dyDescent="0.25">
      <c r="A15" s="419"/>
      <c r="B15" s="409"/>
      <c r="C15" s="295" t="str">
        <f>[2]SEGUIMIENTO!C132</f>
        <v>SA-PY2b.2</v>
      </c>
      <c r="D15" s="211" t="str">
        <f>[2]SEGUIMIENTO!D132</f>
        <v>Dotación de muebles y equipos de oficinas para todas las Sedes.</v>
      </c>
      <c r="E15" s="295">
        <f>[2]SEGUIMIENTO!E132</f>
        <v>211</v>
      </c>
      <c r="F15" s="296" t="s">
        <v>319</v>
      </c>
      <c r="G15" s="296">
        <v>977</v>
      </c>
      <c r="H15" s="296" t="s">
        <v>313</v>
      </c>
      <c r="I15" s="54">
        <v>977471573</v>
      </c>
      <c r="J15" s="54">
        <v>738649388</v>
      </c>
      <c r="K15" s="54">
        <f t="shared" si="6"/>
        <v>238822185</v>
      </c>
      <c r="L15" s="54" t="s">
        <v>737</v>
      </c>
      <c r="M15" s="314">
        <v>4.3E-3</v>
      </c>
      <c r="N15" s="54" t="s">
        <v>738</v>
      </c>
      <c r="O15" s="314">
        <v>8.2000000000000007E-3</v>
      </c>
      <c r="P15" s="54">
        <v>0</v>
      </c>
      <c r="Q15" s="209">
        <v>0</v>
      </c>
      <c r="R15" s="322">
        <f>SUM(M15+O15)</f>
        <v>1.2500000000000001E-2</v>
      </c>
      <c r="S15" s="309">
        <f t="shared" si="0"/>
        <v>0.75567352381714736</v>
      </c>
      <c r="T15" s="279">
        <f t="shared" si="1"/>
        <v>1.2500000000000001E-2</v>
      </c>
      <c r="U15" s="309">
        <f t="shared" si="2"/>
        <v>0.38408676190857366</v>
      </c>
      <c r="V15" s="188" t="s">
        <v>739</v>
      </c>
    </row>
    <row r="16" spans="1:22" ht="60" x14ac:dyDescent="0.25">
      <c r="A16" s="419"/>
      <c r="B16" s="409"/>
      <c r="C16" s="295" t="str">
        <f>[2]SEGUIMIENTO!C133</f>
        <v>SA-PY2b.3</v>
      </c>
      <c r="D16" s="211" t="str">
        <f>[2]SEGUIMIENTO!D133</f>
        <v>Adquisición bibliografía.</v>
      </c>
      <c r="E16" s="295">
        <f>[2]SEGUIMIENTO!E133</f>
        <v>211</v>
      </c>
      <c r="F16" s="296" t="s">
        <v>322</v>
      </c>
      <c r="G16" s="296">
        <v>338</v>
      </c>
      <c r="H16" s="296" t="s">
        <v>313</v>
      </c>
      <c r="I16" s="54">
        <v>338233694</v>
      </c>
      <c r="J16" s="54">
        <v>123453559</v>
      </c>
      <c r="K16" s="54">
        <f t="shared" si="6"/>
        <v>214780135</v>
      </c>
      <c r="L16" s="54" t="s">
        <v>740</v>
      </c>
      <c r="M16" s="314">
        <v>1.9800000000000002E-2</v>
      </c>
      <c r="N16" s="54" t="s">
        <v>741</v>
      </c>
      <c r="O16" s="314">
        <v>7.1999999999999998E-3</v>
      </c>
      <c r="P16" s="54">
        <v>0</v>
      </c>
      <c r="Q16" s="209">
        <v>0</v>
      </c>
      <c r="R16" s="322">
        <f t="shared" ref="R16" si="7">SUM(M16+O16)</f>
        <v>2.7000000000000003E-2</v>
      </c>
      <c r="S16" s="309">
        <f t="shared" si="0"/>
        <v>0.36499485766784667</v>
      </c>
      <c r="T16" s="279">
        <f t="shared" si="1"/>
        <v>2.7000000000000003E-2</v>
      </c>
      <c r="U16" s="309">
        <f t="shared" si="2"/>
        <v>0.19599742883392335</v>
      </c>
      <c r="V16" s="19" t="s">
        <v>742</v>
      </c>
    </row>
    <row r="17" spans="1:22" ht="36" customHeight="1" x14ac:dyDescent="0.25">
      <c r="A17" s="419"/>
      <c r="B17" s="409"/>
      <c r="C17" s="295" t="str">
        <f>[2]SEGUIMIENTO!C134</f>
        <v>SA-PY2b.4</v>
      </c>
      <c r="D17" s="211" t="str">
        <f>[2]SEGUIMIENTO!D134</f>
        <v xml:space="preserve"> Mantenimiento de Equipos de Laboratorio,  Muebles, accesorios y equipos de Oficina de todas las sedes.</v>
      </c>
      <c r="E17" s="295">
        <f>[2]SEGUIMIENTO!E134</f>
        <v>211</v>
      </c>
      <c r="F17" s="296" t="s">
        <v>325</v>
      </c>
      <c r="G17" s="296">
        <v>100</v>
      </c>
      <c r="H17" s="296" t="s">
        <v>313</v>
      </c>
      <c r="I17" s="54">
        <v>223918100</v>
      </c>
      <c r="J17" s="54">
        <v>156996167</v>
      </c>
      <c r="K17" s="54">
        <f t="shared" si="6"/>
        <v>66921933</v>
      </c>
      <c r="L17" s="54">
        <v>0</v>
      </c>
      <c r="M17" s="314">
        <v>0</v>
      </c>
      <c r="N17" s="54">
        <v>13</v>
      </c>
      <c r="O17" s="314">
        <v>7.0000000000000001E-3</v>
      </c>
      <c r="P17" s="54">
        <v>0</v>
      </c>
      <c r="Q17" s="209">
        <v>0</v>
      </c>
      <c r="R17" s="322">
        <f>SUM(M17+O17)</f>
        <v>7.0000000000000001E-3</v>
      </c>
      <c r="S17" s="309">
        <f t="shared" si="0"/>
        <v>0.70113209695866485</v>
      </c>
      <c r="T17" s="279">
        <f t="shared" si="1"/>
        <v>7.0000000000000001E-3</v>
      </c>
      <c r="U17" s="309">
        <f t="shared" si="2"/>
        <v>0.35406604847933243</v>
      </c>
      <c r="V17" s="7" t="s">
        <v>743</v>
      </c>
    </row>
    <row r="18" spans="1:22" ht="36" x14ac:dyDescent="0.25">
      <c r="A18" s="419"/>
      <c r="B18" s="409"/>
      <c r="C18" s="295" t="str">
        <f>[2]SEGUIMIENTO!C135</f>
        <v>SA-PY2b.5</v>
      </c>
      <c r="D18" s="211" t="str">
        <f>[2]SEGUIMIENTO!D135</f>
        <v>Dotación de elementos de aseo y cafetería.</v>
      </c>
      <c r="E18" s="295">
        <f>[2]SEGUIMIENTO!E135</f>
        <v>211</v>
      </c>
      <c r="F18" s="296" t="s">
        <v>328</v>
      </c>
      <c r="G18" s="296">
        <v>100</v>
      </c>
      <c r="H18" s="296" t="s">
        <v>744</v>
      </c>
      <c r="I18" s="54">
        <v>9925084</v>
      </c>
      <c r="J18" s="54">
        <v>9923561</v>
      </c>
      <c r="K18" s="54">
        <f t="shared" si="6"/>
        <v>1523</v>
      </c>
      <c r="L18" s="54" t="s">
        <v>745</v>
      </c>
      <c r="M18" s="322">
        <v>0.98899999999999999</v>
      </c>
      <c r="N18" s="54">
        <v>0</v>
      </c>
      <c r="O18" s="209">
        <v>0</v>
      </c>
      <c r="P18" s="54">
        <v>0</v>
      </c>
      <c r="Q18" s="209">
        <v>0</v>
      </c>
      <c r="R18" s="322">
        <f t="shared" ref="R18:R19" si="8">SUM(M18+O18)</f>
        <v>0.98899999999999999</v>
      </c>
      <c r="S18" s="309">
        <f t="shared" si="0"/>
        <v>0.9998465504171048</v>
      </c>
      <c r="T18" s="279">
        <f t="shared" si="1"/>
        <v>0.98899999999999999</v>
      </c>
      <c r="U18" s="309">
        <f t="shared" si="2"/>
        <v>0.99442327520855245</v>
      </c>
      <c r="V18" s="19" t="s">
        <v>746</v>
      </c>
    </row>
    <row r="19" spans="1:22" ht="24" x14ac:dyDescent="0.25">
      <c r="A19" s="419"/>
      <c r="B19" s="409"/>
      <c r="C19" s="295" t="str">
        <f>[2]SEGUIMIENTO!C136</f>
        <v>SA-PY2b.6</v>
      </c>
      <c r="D19" s="211" t="str">
        <f>[2]SEGUIMIENTO!D136</f>
        <v>Dotación, renovación de Software y licencias.</v>
      </c>
      <c r="E19" s="295">
        <f>[2]SEGUIMIENTO!E136</f>
        <v>211</v>
      </c>
      <c r="F19" s="296" t="s">
        <v>331</v>
      </c>
      <c r="G19" s="296">
        <v>360</v>
      </c>
      <c r="H19" s="296" t="s">
        <v>313</v>
      </c>
      <c r="I19" s="54">
        <v>360351833</v>
      </c>
      <c r="J19" s="54">
        <v>354232934</v>
      </c>
      <c r="K19" s="54">
        <f t="shared" si="6"/>
        <v>6118899</v>
      </c>
      <c r="L19" s="54">
        <v>354</v>
      </c>
      <c r="M19" s="209">
        <v>0.9</v>
      </c>
      <c r="N19" s="54">
        <v>0</v>
      </c>
      <c r="O19" s="209">
        <v>0</v>
      </c>
      <c r="P19" s="54">
        <v>0</v>
      </c>
      <c r="Q19" s="209">
        <v>0</v>
      </c>
      <c r="R19" s="322">
        <f t="shared" si="8"/>
        <v>0.9</v>
      </c>
      <c r="S19" s="309">
        <f t="shared" si="0"/>
        <v>0.98301965346184317</v>
      </c>
      <c r="T19" s="279">
        <f t="shared" si="1"/>
        <v>0.9</v>
      </c>
      <c r="U19" s="309">
        <f t="shared" si="2"/>
        <v>0.94150982673092165</v>
      </c>
      <c r="V19" s="19" t="s">
        <v>747</v>
      </c>
    </row>
    <row r="20" spans="1:22" ht="24" x14ac:dyDescent="0.25">
      <c r="A20" s="299"/>
      <c r="B20" s="410"/>
      <c r="C20" s="295" t="str">
        <f>[2]SEGUIMIENTO!C137</f>
        <v>SA-PY2b.7</v>
      </c>
      <c r="D20" s="211" t="str">
        <f>[2]SEGUIMIENTO!D137</f>
        <v>Contratación personal para mantenimiento CTIC.</v>
      </c>
      <c r="E20" s="295">
        <f>[2]SEGUIMIENTO!E137</f>
        <v>211</v>
      </c>
      <c r="F20" s="296"/>
      <c r="G20" s="296">
        <v>359</v>
      </c>
      <c r="H20" s="296" t="s">
        <v>313</v>
      </c>
      <c r="I20" s="329"/>
      <c r="J20" s="329"/>
      <c r="K20" s="329"/>
      <c r="L20" s="329"/>
      <c r="M20" s="330"/>
      <c r="N20" s="329"/>
      <c r="O20" s="330"/>
      <c r="P20" s="329"/>
      <c r="Q20" s="330"/>
      <c r="R20" s="322"/>
      <c r="S20" s="309">
        <f t="shared" si="0"/>
        <v>0</v>
      </c>
      <c r="T20" s="279">
        <f t="shared" si="1"/>
        <v>0</v>
      </c>
      <c r="U20" s="309">
        <f t="shared" si="2"/>
        <v>0</v>
      </c>
      <c r="V20" s="331" t="s">
        <v>748</v>
      </c>
    </row>
    <row r="21" spans="1:22" s="20" customFormat="1" ht="50.25" customHeight="1" x14ac:dyDescent="0.25">
      <c r="A21" s="299"/>
      <c r="B21" s="2" t="s">
        <v>332</v>
      </c>
      <c r="C21" s="18" t="str">
        <f>[2]SEGUIMIENTO!C138</f>
        <v>SA-PY2c.1</v>
      </c>
      <c r="D21" s="211" t="str">
        <f>[2]SEGUIMIENTO!D138</f>
        <v xml:space="preserve">Implementación  plataforma LCMS en la Usco para aumentar la tasa de cobertura bruta en la educación superior en el Departamento del Huila”, </v>
      </c>
      <c r="E21" s="18" t="str">
        <f>[2]SEGUIMIENTO!E138</f>
        <v>520-2</v>
      </c>
      <c r="F21" s="296" t="s">
        <v>308</v>
      </c>
      <c r="G21" s="296">
        <v>100</v>
      </c>
      <c r="H21" s="296" t="s">
        <v>313</v>
      </c>
      <c r="I21" s="329"/>
      <c r="J21" s="280"/>
      <c r="K21" s="329"/>
      <c r="L21" s="329"/>
      <c r="M21" s="330"/>
      <c r="N21" s="329"/>
      <c r="O21" s="330"/>
      <c r="P21" s="329"/>
      <c r="Q21" s="330"/>
      <c r="R21" s="322"/>
      <c r="S21" s="309">
        <f t="shared" si="0"/>
        <v>0</v>
      </c>
      <c r="T21" s="279">
        <f t="shared" si="1"/>
        <v>0</v>
      </c>
      <c r="U21" s="309">
        <f t="shared" si="2"/>
        <v>0</v>
      </c>
      <c r="V21" s="331" t="s">
        <v>748</v>
      </c>
    </row>
    <row r="22" spans="1:22" ht="45" customHeight="1" x14ac:dyDescent="0.25">
      <c r="A22" s="419" t="s">
        <v>299</v>
      </c>
      <c r="B22" s="537" t="s">
        <v>336</v>
      </c>
      <c r="C22" s="295" t="str">
        <f>[2]SEGUIMIENTO!C139</f>
        <v>SA-PY3.1</v>
      </c>
      <c r="D22" s="211" t="str">
        <f>[2]SEGUIMIENTO!D139</f>
        <v>Desarrollo de las actividades Gestión Ambiental y  vinculación personal del Proyecto.</v>
      </c>
      <c r="E22" s="295">
        <f>[2]SEGUIMIENTO!E139</f>
        <v>510</v>
      </c>
      <c r="F22" s="296" t="s">
        <v>339</v>
      </c>
      <c r="G22" s="296">
        <v>115</v>
      </c>
      <c r="H22" s="296" t="s">
        <v>313</v>
      </c>
      <c r="I22" s="54">
        <v>120238283</v>
      </c>
      <c r="J22" s="54">
        <v>117485662</v>
      </c>
      <c r="K22" s="54">
        <f>I22-J22</f>
        <v>2752621</v>
      </c>
      <c r="L22" s="54">
        <v>0</v>
      </c>
      <c r="M22" s="209">
        <v>0</v>
      </c>
      <c r="N22" s="54" t="s">
        <v>749</v>
      </c>
      <c r="O22" s="209">
        <v>0.01</v>
      </c>
      <c r="P22" s="54">
        <v>0</v>
      </c>
      <c r="Q22" s="209">
        <v>0</v>
      </c>
      <c r="R22" s="322">
        <f>SUM(M22+O22)</f>
        <v>0.01</v>
      </c>
      <c r="S22" s="309">
        <f t="shared" si="0"/>
        <v>0.97710695020486948</v>
      </c>
      <c r="T22" s="279">
        <f t="shared" si="1"/>
        <v>0.01</v>
      </c>
      <c r="U22" s="309">
        <f t="shared" si="2"/>
        <v>0.49355347510243475</v>
      </c>
      <c r="V22" s="19" t="s">
        <v>750</v>
      </c>
    </row>
    <row r="23" spans="1:22" ht="51" customHeight="1" x14ac:dyDescent="0.25">
      <c r="A23" s="419"/>
      <c r="B23" s="538"/>
      <c r="C23" s="295" t="str">
        <f>[2]SEGUIMIENTO!C140</f>
        <v>SA-PY3.2</v>
      </c>
      <c r="D23" s="211" t="str">
        <f>[2]SEGUIMIENTO!D140</f>
        <v>Actualización y desarrollo del Sistema de Gestión de Calidad con el Plan de Desarrollo y vinculación personal del Proyecto.</v>
      </c>
      <c r="E23" s="295">
        <f>[2]SEGUIMIENTO!E140</f>
        <v>510</v>
      </c>
      <c r="F23" s="296" t="s">
        <v>339</v>
      </c>
      <c r="G23" s="296">
        <v>115</v>
      </c>
      <c r="H23" s="296" t="s">
        <v>313</v>
      </c>
      <c r="I23" s="54">
        <v>134000000</v>
      </c>
      <c r="J23" s="332">
        <v>132795735</v>
      </c>
      <c r="K23" s="54">
        <f>I23-J23</f>
        <v>1204265</v>
      </c>
      <c r="L23" s="54">
        <v>0</v>
      </c>
      <c r="M23" s="209">
        <v>0</v>
      </c>
      <c r="N23" s="54" t="s">
        <v>751</v>
      </c>
      <c r="O23" s="209">
        <v>0.01</v>
      </c>
      <c r="P23" s="54">
        <v>0</v>
      </c>
      <c r="Q23" s="209">
        <v>0</v>
      </c>
      <c r="R23" s="322">
        <f>SUM(M23+O23)</f>
        <v>0.01</v>
      </c>
      <c r="S23" s="309">
        <f t="shared" si="0"/>
        <v>0.99101294776119409</v>
      </c>
      <c r="T23" s="279">
        <f t="shared" si="1"/>
        <v>0.01</v>
      </c>
      <c r="U23" s="309">
        <f t="shared" si="2"/>
        <v>0.50050647388059699</v>
      </c>
      <c r="V23" s="19" t="s">
        <v>752</v>
      </c>
    </row>
    <row r="24" spans="1:22" ht="38.25" customHeight="1" x14ac:dyDescent="0.25">
      <c r="A24" s="419"/>
      <c r="B24" s="538"/>
      <c r="C24" s="295" t="str">
        <f>[2]SEGUIMIENTO!C141</f>
        <v>SA-PY3.3</v>
      </c>
      <c r="D24" s="211" t="str">
        <f>[2]SEGUIMIENTO!D141</f>
        <v>Afiliación y Auditoría de seguimiento de la Certificación ISO 9001:2008 NTCGP 1000:2009.</v>
      </c>
      <c r="E24" s="295">
        <f>[2]SEGUIMIENTO!E141</f>
        <v>510</v>
      </c>
      <c r="F24" s="296" t="s">
        <v>339</v>
      </c>
      <c r="G24" s="296">
        <v>4</v>
      </c>
      <c r="H24" s="296" t="s">
        <v>313</v>
      </c>
      <c r="I24" s="54">
        <v>26716000</v>
      </c>
      <c r="J24" s="332">
        <v>23666000</v>
      </c>
      <c r="K24" s="54">
        <f>I24-J24</f>
        <v>3050000</v>
      </c>
      <c r="L24" s="54">
        <v>0</v>
      </c>
      <c r="M24" s="209">
        <v>0</v>
      </c>
      <c r="N24" s="54" t="s">
        <v>753</v>
      </c>
      <c r="O24" s="209">
        <v>0.01</v>
      </c>
      <c r="P24" s="54">
        <v>0</v>
      </c>
      <c r="Q24" s="209">
        <v>0</v>
      </c>
      <c r="R24" s="322">
        <f>SUM(M24+O24)</f>
        <v>0.01</v>
      </c>
      <c r="S24" s="309">
        <f t="shared" si="0"/>
        <v>0.8858362030244048</v>
      </c>
      <c r="T24" s="279">
        <f t="shared" si="1"/>
        <v>0.01</v>
      </c>
      <c r="U24" s="309">
        <f t="shared" si="2"/>
        <v>0.4479181015122024</v>
      </c>
      <c r="V24" s="333" t="s">
        <v>754</v>
      </c>
    </row>
    <row r="25" spans="1:22" ht="32.25" customHeight="1" x14ac:dyDescent="0.25">
      <c r="A25" s="419"/>
      <c r="B25" s="539"/>
      <c r="C25" s="295" t="str">
        <f>[2]SEGUIMIENTO!C142</f>
        <v>SA-PY3.4</v>
      </c>
      <c r="D25" s="211" t="str">
        <f>[2]SEGUIMIENTO!D142</f>
        <v xml:space="preserve"> Gestión de la estructura academico-administrativa y financiera.</v>
      </c>
      <c r="E25" s="295">
        <f>[2]SEGUIMIENTO!E142</f>
        <v>510</v>
      </c>
      <c r="F25" s="296" t="s">
        <v>72</v>
      </c>
      <c r="G25" s="296">
        <v>0</v>
      </c>
      <c r="H25" s="296" t="s">
        <v>313</v>
      </c>
      <c r="I25" s="54">
        <v>0</v>
      </c>
      <c r="J25" s="49">
        <v>0</v>
      </c>
      <c r="K25" s="54">
        <v>0</v>
      </c>
      <c r="L25" s="54">
        <v>0</v>
      </c>
      <c r="M25" s="209">
        <v>0</v>
      </c>
      <c r="N25" s="54">
        <v>0</v>
      </c>
      <c r="O25" s="209">
        <v>0</v>
      </c>
      <c r="P25" s="54">
        <v>0</v>
      </c>
      <c r="Q25" s="209">
        <v>0</v>
      </c>
      <c r="R25" s="322">
        <v>0</v>
      </c>
      <c r="S25" s="309">
        <f t="shared" si="0"/>
        <v>0</v>
      </c>
      <c r="T25" s="279">
        <f t="shared" si="1"/>
        <v>0</v>
      </c>
      <c r="U25" s="309">
        <f t="shared" si="2"/>
        <v>0</v>
      </c>
      <c r="V25" s="6"/>
    </row>
    <row r="26" spans="1:22" ht="75" x14ac:dyDescent="0.25">
      <c r="A26" s="419"/>
      <c r="B26" s="293" t="s">
        <v>346</v>
      </c>
      <c r="C26" s="295" t="str">
        <f>[2]SEGUIMIENTO!C143</f>
        <v>SA-PY5.1</v>
      </c>
      <c r="D26" s="211" t="str">
        <f>[2]SEGUIMIENTO!D143</f>
        <v>Elaboración de estudio de factibilidad ténico-financiero de la modernización académico administrativa.</v>
      </c>
      <c r="E26" s="295">
        <f>[2]SEGUIMIENTO!E143</f>
        <v>510</v>
      </c>
      <c r="F26" s="296" t="s">
        <v>349</v>
      </c>
      <c r="G26" s="296">
        <v>100</v>
      </c>
      <c r="H26" s="296" t="s">
        <v>350</v>
      </c>
      <c r="I26" s="329"/>
      <c r="J26" s="334"/>
      <c r="K26" s="329"/>
      <c r="L26" s="329"/>
      <c r="M26" s="330"/>
      <c r="N26" s="329"/>
      <c r="O26" s="330"/>
      <c r="P26" s="329"/>
      <c r="Q26" s="330"/>
      <c r="R26" s="322"/>
      <c r="S26" s="309">
        <f t="shared" si="0"/>
        <v>0</v>
      </c>
      <c r="T26" s="279">
        <f t="shared" si="1"/>
        <v>0</v>
      </c>
      <c r="U26" s="309">
        <f t="shared" si="2"/>
        <v>0</v>
      </c>
      <c r="V26" s="331" t="s">
        <v>748</v>
      </c>
    </row>
    <row r="27" spans="1:22" ht="61.5" customHeight="1" x14ac:dyDescent="0.25">
      <c r="A27" s="419"/>
      <c r="B27" s="292" t="s">
        <v>351</v>
      </c>
      <c r="C27" s="295" t="str">
        <f>[2]SEGUIMIENTO!C144</f>
        <v>SA-PY7.1</v>
      </c>
      <c r="D27" s="211" t="str">
        <f>[2]SEGUIMIENTO!D144</f>
        <v>Ejecución Plan de Capacitación para el personal Administrativo y de Trabajadores Oficiales.</v>
      </c>
      <c r="E27" s="295">
        <f>[2]SEGUIMIENTO!E144</f>
        <v>310</v>
      </c>
      <c r="F27" s="306" t="s">
        <v>354</v>
      </c>
      <c r="G27" s="306">
        <v>206</v>
      </c>
      <c r="H27" s="306" t="s">
        <v>62</v>
      </c>
      <c r="I27" s="54">
        <v>215500000</v>
      </c>
      <c r="J27" s="54">
        <v>207212112</v>
      </c>
      <c r="K27" s="54">
        <f>I27-J27</f>
        <v>8287888</v>
      </c>
      <c r="L27" s="189">
        <v>60</v>
      </c>
      <c r="M27" s="322">
        <v>0.23499999999999999</v>
      </c>
      <c r="N27" s="189">
        <v>3</v>
      </c>
      <c r="O27" s="314">
        <v>1.15E-2</v>
      </c>
      <c r="P27" s="189">
        <v>8</v>
      </c>
      <c r="Q27" s="209">
        <v>0.03</v>
      </c>
      <c r="R27" s="322">
        <f t="shared" ref="R27" si="9">SUM(M27+O27)</f>
        <v>0.2465</v>
      </c>
      <c r="S27" s="309">
        <f t="shared" si="0"/>
        <v>0.96154112296983762</v>
      </c>
      <c r="T27" s="279">
        <f t="shared" si="1"/>
        <v>0.2465</v>
      </c>
      <c r="U27" s="309">
        <f t="shared" si="2"/>
        <v>0.60402056148491878</v>
      </c>
      <c r="V27" s="36" t="s">
        <v>755</v>
      </c>
    </row>
    <row r="28" spans="1:22" s="16" customFormat="1" ht="15.95" customHeight="1" x14ac:dyDescent="0.25">
      <c r="A28" s="15"/>
      <c r="B28" s="404" t="s">
        <v>355</v>
      </c>
      <c r="C28" s="404"/>
      <c r="D28" s="404"/>
      <c r="E28" s="37"/>
      <c r="F28" s="37"/>
      <c r="G28" s="37"/>
      <c r="H28" s="37"/>
      <c r="I28" s="14"/>
      <c r="J28" s="14"/>
      <c r="K28" s="14"/>
      <c r="L28" s="14"/>
      <c r="M28" s="14"/>
      <c r="N28" s="14"/>
      <c r="O28" s="14"/>
      <c r="P28" s="14"/>
      <c r="Q28" s="14"/>
      <c r="R28" s="14"/>
      <c r="S28" s="14"/>
      <c r="T28" s="14"/>
      <c r="U28" s="14"/>
      <c r="V28" s="15"/>
    </row>
    <row r="29" spans="1:22" ht="15.95" customHeight="1" x14ac:dyDescent="0.25">
      <c r="C29" s="38"/>
      <c r="D29" s="39"/>
      <c r="F29" s="40"/>
      <c r="G29" s="40"/>
      <c r="H29" s="40"/>
      <c r="I29" s="41"/>
      <c r="J29" s="41"/>
      <c r="K29" s="41"/>
      <c r="L29" s="41"/>
      <c r="M29" s="41"/>
      <c r="N29" s="41"/>
      <c r="O29" s="41"/>
      <c r="P29" s="41"/>
      <c r="Q29" s="41"/>
      <c r="R29" s="41"/>
      <c r="S29" s="41"/>
      <c r="T29" s="41"/>
      <c r="U29" s="41"/>
    </row>
    <row r="30" spans="1:22" ht="15.95" customHeight="1" x14ac:dyDescent="0.25">
      <c r="C30" s="38"/>
      <c r="E30" s="38"/>
      <c r="F30" s="39"/>
      <c r="G30" s="39"/>
      <c r="H30" s="39"/>
    </row>
    <row r="31" spans="1:22" ht="15.95" customHeight="1" x14ac:dyDescent="0.25">
      <c r="F31" s="42"/>
      <c r="G31" s="42"/>
      <c r="H31" s="42"/>
      <c r="I31" s="41"/>
    </row>
    <row r="32" spans="1:22" ht="15.95" customHeight="1" x14ac:dyDescent="0.25">
      <c r="F32" s="42"/>
      <c r="G32" s="42"/>
      <c r="H32" s="42"/>
      <c r="I32" s="41"/>
    </row>
    <row r="33" spans="4:9" ht="15.95" customHeight="1" x14ac:dyDescent="0.25">
      <c r="F33" s="42"/>
      <c r="G33" s="42"/>
      <c r="H33" s="42"/>
      <c r="I33" s="41"/>
    </row>
    <row r="34" spans="4:9" ht="15.95" customHeight="1" x14ac:dyDescent="0.25">
      <c r="D34" s="39"/>
      <c r="E34" s="43"/>
      <c r="F34" s="44"/>
      <c r="G34" s="44"/>
      <c r="H34" s="44"/>
      <c r="I34" s="41"/>
    </row>
    <row r="35" spans="4:9" ht="15.95" customHeight="1" x14ac:dyDescent="0.25">
      <c r="D35" s="39"/>
      <c r="E35" s="43"/>
      <c r="F35" s="38"/>
      <c r="G35" s="38"/>
      <c r="H35" s="38"/>
      <c r="I35" s="41"/>
    </row>
    <row r="36" spans="4:9" ht="15.95" customHeight="1" x14ac:dyDescent="0.25">
      <c r="D36" s="39"/>
      <c r="E36" s="43"/>
      <c r="F36" s="38"/>
      <c r="G36" s="38"/>
      <c r="H36" s="38"/>
      <c r="I36" s="41"/>
    </row>
    <row r="37" spans="4:9" ht="15.95" customHeight="1" x14ac:dyDescent="0.25"/>
    <row r="38" spans="4:9" ht="15.95" customHeight="1" x14ac:dyDescent="0.25">
      <c r="F38" s="40"/>
      <c r="G38" s="40"/>
      <c r="H38" s="40"/>
    </row>
    <row r="39" spans="4:9" ht="15.95" customHeight="1" x14ac:dyDescent="0.25"/>
    <row r="40" spans="4:9" ht="15.95" customHeight="1" x14ac:dyDescent="0.25"/>
    <row r="41" spans="4:9" ht="15.95" customHeight="1" x14ac:dyDescent="0.25"/>
  </sheetData>
  <mergeCells count="42">
    <mergeCell ref="S7:U7"/>
    <mergeCell ref="B4:C4"/>
    <mergeCell ref="E4:F4"/>
    <mergeCell ref="G4:H4"/>
    <mergeCell ref="I4:K4"/>
    <mergeCell ref="T5:T6"/>
    <mergeCell ref="S5:S6"/>
    <mergeCell ref="A1:A3"/>
    <mergeCell ref="B1:I1"/>
    <mergeCell ref="J1:K3"/>
    <mergeCell ref="V1:V3"/>
    <mergeCell ref="B2:I2"/>
    <mergeCell ref="B3:I3"/>
    <mergeCell ref="V5:V7"/>
    <mergeCell ref="A6:A7"/>
    <mergeCell ref="B6:B7"/>
    <mergeCell ref="C6:C7"/>
    <mergeCell ref="D6:D7"/>
    <mergeCell ref="E6:E7"/>
    <mergeCell ref="F6:F7"/>
    <mergeCell ref="I5:I6"/>
    <mergeCell ref="J5:J6"/>
    <mergeCell ref="K5:K6"/>
    <mergeCell ref="G6:G7"/>
    <mergeCell ref="H6:H7"/>
    <mergeCell ref="A5:B5"/>
    <mergeCell ref="C5:E5"/>
    <mergeCell ref="U5:U6"/>
    <mergeCell ref="R5:R7"/>
    <mergeCell ref="A8:A19"/>
    <mergeCell ref="B8:B10"/>
    <mergeCell ref="A22:A27"/>
    <mergeCell ref="B11:B13"/>
    <mergeCell ref="B14:B20"/>
    <mergeCell ref="B22:B25"/>
    <mergeCell ref="B28:D28"/>
    <mergeCell ref="I7:K7"/>
    <mergeCell ref="L5:Q5"/>
    <mergeCell ref="L6:M6"/>
    <mergeCell ref="N6:O6"/>
    <mergeCell ref="P6:Q6"/>
    <mergeCell ref="F5:H5"/>
  </mergeCells>
  <conditionalFormatting sqref="U8:U27">
    <cfRule type="cellIs" dxfId="519" priority="5" operator="greaterThan">
      <formula>24%</formula>
    </cfRule>
    <cfRule type="cellIs" dxfId="518" priority="6" operator="between">
      <formula>19.1%</formula>
      <formula>24%</formula>
    </cfRule>
    <cfRule type="cellIs" dxfId="517" priority="7" operator="between">
      <formula>9%</formula>
      <formula>19%</formula>
    </cfRule>
    <cfRule type="cellIs" dxfId="516" priority="8" operator="lessThan">
      <formula>9%</formula>
    </cfRule>
  </conditionalFormatting>
  <conditionalFormatting sqref="S8:T27">
    <cfRule type="cellIs" dxfId="515" priority="1" operator="greaterThan">
      <formula>24%</formula>
    </cfRule>
    <cfRule type="cellIs" dxfId="514" priority="2" operator="between">
      <formula>19.1%</formula>
      <formula>24%</formula>
    </cfRule>
    <cfRule type="cellIs" dxfId="513" priority="3" operator="between">
      <formula>9%</formula>
      <formula>19%</formula>
    </cfRule>
    <cfRule type="cellIs" dxfId="512"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7"/>
  <sheetViews>
    <sheetView topLeftCell="B69" workbookViewId="0">
      <selection activeCell="K77" sqref="K77"/>
    </sheetView>
  </sheetViews>
  <sheetFormatPr baseColWidth="10" defaultRowHeight="15" x14ac:dyDescent="0.25"/>
  <cols>
    <col min="1" max="2" width="14.28515625" customWidth="1"/>
    <col min="3" max="3" width="13.42578125" customWidth="1"/>
    <col min="4" max="6" width="14.5703125" customWidth="1"/>
    <col min="7" max="7" width="3.140625" customWidth="1"/>
    <col min="8" max="8" width="25" bestFit="1" customWidth="1"/>
    <col min="9" max="9" width="15.28515625" customWidth="1"/>
    <col min="10" max="10" width="13.7109375" bestFit="1" customWidth="1"/>
    <col min="11" max="11" width="13.42578125" customWidth="1"/>
    <col min="12" max="12" width="11.42578125" customWidth="1"/>
  </cols>
  <sheetData>
    <row r="1" spans="1:15" x14ac:dyDescent="0.25">
      <c r="A1" s="540" t="s">
        <v>619</v>
      </c>
      <c r="B1" s="540"/>
      <c r="C1" s="540"/>
      <c r="D1" s="540"/>
      <c r="E1" s="200"/>
      <c r="F1" s="200"/>
      <c r="G1" s="200"/>
      <c r="H1" s="540" t="s">
        <v>696</v>
      </c>
      <c r="I1" s="540"/>
      <c r="J1" s="540"/>
      <c r="K1" s="540"/>
    </row>
    <row r="2" spans="1:15" x14ac:dyDescent="0.25">
      <c r="A2" s="194" t="s">
        <v>613</v>
      </c>
      <c r="B2" s="194" t="s">
        <v>614</v>
      </c>
      <c r="C2" s="194" t="s">
        <v>615</v>
      </c>
      <c r="D2" s="194" t="s">
        <v>616</v>
      </c>
      <c r="E2" s="223" t="s">
        <v>613</v>
      </c>
      <c r="F2" s="236" t="s">
        <v>5</v>
      </c>
      <c r="G2" s="201"/>
      <c r="H2" s="206" t="s">
        <v>613</v>
      </c>
      <c r="I2" s="206" t="s">
        <v>614</v>
      </c>
      <c r="J2" s="206" t="s">
        <v>615</v>
      </c>
      <c r="K2" s="206" t="s">
        <v>616</v>
      </c>
      <c r="L2" s="223" t="s">
        <v>613</v>
      </c>
      <c r="M2" s="236" t="s">
        <v>5</v>
      </c>
      <c r="N2" s="236" t="s">
        <v>6</v>
      </c>
      <c r="O2" s="236" t="s">
        <v>7</v>
      </c>
    </row>
    <row r="3" spans="1:15" x14ac:dyDescent="0.25">
      <c r="A3" s="6" t="s">
        <v>606</v>
      </c>
      <c r="B3" s="199">
        <f>SUM(Asignación!K3:K5)</f>
        <v>127448597</v>
      </c>
      <c r="C3" s="199" t="e">
        <f>SUM(#REF!)</f>
        <v>#REF!</v>
      </c>
      <c r="D3" s="199" t="e">
        <f>B3-C3</f>
        <v>#REF!</v>
      </c>
      <c r="E3" s="6" t="s">
        <v>606</v>
      </c>
      <c r="F3" s="222" t="e">
        <f>C3/B3</f>
        <v>#REF!</v>
      </c>
      <c r="G3" s="202"/>
      <c r="H3" s="6" t="s">
        <v>606</v>
      </c>
      <c r="I3" s="199" t="e">
        <f>SUM(#REF!)</f>
        <v>#REF!</v>
      </c>
      <c r="J3" s="199" t="e">
        <f>SUM(#REF!)</f>
        <v>#REF!</v>
      </c>
      <c r="K3" s="199" t="e">
        <f>I3-J3</f>
        <v>#REF!</v>
      </c>
      <c r="L3" s="6" t="s">
        <v>606</v>
      </c>
      <c r="M3" s="222" t="e">
        <f>J3/I3</f>
        <v>#REF!</v>
      </c>
      <c r="N3" s="233" t="e">
        <f>FORMACIÓN!B32</f>
        <v>#DIV/0!</v>
      </c>
      <c r="O3" s="233" t="e">
        <f>(M3+N3)/2</f>
        <v>#REF!</v>
      </c>
    </row>
    <row r="4" spans="1:15" x14ac:dyDescent="0.25">
      <c r="A4" s="6" t="s">
        <v>607</v>
      </c>
      <c r="B4" s="199">
        <f>SUM(Asignación!K6)</f>
        <v>36000000</v>
      </c>
      <c r="C4" s="199" t="e">
        <f>SUM(#REF!)</f>
        <v>#REF!</v>
      </c>
      <c r="D4" s="199" t="e">
        <f t="shared" ref="D4:D10" si="0">B4-C4</f>
        <v>#REF!</v>
      </c>
      <c r="E4" s="6" t="s">
        <v>607</v>
      </c>
      <c r="F4" s="222" t="e">
        <f t="shared" ref="F4:F9" si="1">C4/B4</f>
        <v>#REF!</v>
      </c>
      <c r="G4" s="202"/>
      <c r="H4" s="6" t="s">
        <v>607</v>
      </c>
      <c r="I4" s="199" t="e">
        <f>SUM(#REF!)</f>
        <v>#REF!</v>
      </c>
      <c r="J4" s="199" t="e">
        <f>SUM(#REF!)</f>
        <v>#REF!</v>
      </c>
      <c r="K4" s="199" t="e">
        <f t="shared" ref="K4:K10" si="2">I4-J4</f>
        <v>#REF!</v>
      </c>
      <c r="L4" s="6" t="s">
        <v>607</v>
      </c>
      <c r="M4" s="222" t="e">
        <f t="shared" ref="M4:M9" si="3">J4/I4</f>
        <v>#REF!</v>
      </c>
      <c r="N4" s="233" t="e">
        <f>FORMACIÓN!B33</f>
        <v>#DIV/0!</v>
      </c>
      <c r="O4" s="233" t="e">
        <f t="shared" ref="O4:O9" si="4">(M4+N4)/2</f>
        <v>#REF!</v>
      </c>
    </row>
    <row r="5" spans="1:15" x14ac:dyDescent="0.25">
      <c r="A5" s="6" t="s">
        <v>608</v>
      </c>
      <c r="B5" s="199">
        <f>SUM(Asignación!K7:K11)</f>
        <v>590530623</v>
      </c>
      <c r="C5" s="199" t="e">
        <f>SUM(#REF!)</f>
        <v>#REF!</v>
      </c>
      <c r="D5" s="199" t="e">
        <f t="shared" si="0"/>
        <v>#REF!</v>
      </c>
      <c r="E5" s="6" t="s">
        <v>608</v>
      </c>
      <c r="F5" s="222" t="e">
        <f t="shared" si="1"/>
        <v>#REF!</v>
      </c>
      <c r="G5" s="202"/>
      <c r="H5" s="6" t="s">
        <v>608</v>
      </c>
      <c r="I5" s="199" t="e">
        <f>SUM(#REF!)</f>
        <v>#REF!</v>
      </c>
      <c r="J5" s="199" t="e">
        <f>SUM(#REF!)</f>
        <v>#REF!</v>
      </c>
      <c r="K5" s="199" t="e">
        <f t="shared" si="2"/>
        <v>#REF!</v>
      </c>
      <c r="L5" s="6" t="s">
        <v>608</v>
      </c>
      <c r="M5" s="222" t="e">
        <f t="shared" si="3"/>
        <v>#REF!</v>
      </c>
      <c r="N5" s="233" t="e">
        <f>FORMACIÓN!B34</f>
        <v>#DIV/0!</v>
      </c>
      <c r="O5" s="233" t="e">
        <f t="shared" si="4"/>
        <v>#REF!</v>
      </c>
    </row>
    <row r="6" spans="1:15" x14ac:dyDescent="0.25">
      <c r="A6" s="6" t="s">
        <v>609</v>
      </c>
      <c r="B6" s="199">
        <f>SUM(Asignación!K12:K16)</f>
        <v>673338920</v>
      </c>
      <c r="C6" s="199" t="e">
        <f>SUM(#REF!)</f>
        <v>#REF!</v>
      </c>
      <c r="D6" s="199" t="e">
        <f t="shared" si="0"/>
        <v>#REF!</v>
      </c>
      <c r="E6" s="6" t="s">
        <v>609</v>
      </c>
      <c r="F6" s="222" t="e">
        <f t="shared" si="1"/>
        <v>#REF!</v>
      </c>
      <c r="G6" s="202"/>
      <c r="H6" s="6" t="s">
        <v>609</v>
      </c>
      <c r="I6" s="199" t="e">
        <f>SUM(#REF!)</f>
        <v>#REF!</v>
      </c>
      <c r="J6" s="199" t="e">
        <f>SUM(#REF!)</f>
        <v>#REF!</v>
      </c>
      <c r="K6" s="199" t="e">
        <f t="shared" si="2"/>
        <v>#REF!</v>
      </c>
      <c r="L6" s="6" t="s">
        <v>609</v>
      </c>
      <c r="M6" s="222" t="e">
        <f t="shared" si="3"/>
        <v>#REF!</v>
      </c>
      <c r="N6" s="233" t="e">
        <f>FORMACIÓN!B35</f>
        <v>#DIV/0!</v>
      </c>
      <c r="O6" s="233" t="e">
        <f t="shared" si="4"/>
        <v>#REF!</v>
      </c>
    </row>
    <row r="7" spans="1:15" x14ac:dyDescent="0.25">
      <c r="A7" s="6" t="s">
        <v>610</v>
      </c>
      <c r="B7" s="199">
        <f>SUM(Asignación!K17:K19)</f>
        <v>197440391</v>
      </c>
      <c r="C7" s="199" t="e">
        <f>SUM(#REF!)</f>
        <v>#REF!</v>
      </c>
      <c r="D7" s="199" t="e">
        <f t="shared" si="0"/>
        <v>#REF!</v>
      </c>
      <c r="E7" s="6" t="s">
        <v>610</v>
      </c>
      <c r="F7" s="222" t="e">
        <f t="shared" si="1"/>
        <v>#REF!</v>
      </c>
      <c r="G7" s="202"/>
      <c r="H7" s="6" t="s">
        <v>610</v>
      </c>
      <c r="I7" s="199" t="e">
        <f>SUM(#REF!)</f>
        <v>#REF!</v>
      </c>
      <c r="J7" s="199" t="e">
        <f>SUM(#REF!)</f>
        <v>#REF!</v>
      </c>
      <c r="K7" s="199" t="e">
        <f t="shared" si="2"/>
        <v>#REF!</v>
      </c>
      <c r="L7" s="6" t="s">
        <v>610</v>
      </c>
      <c r="M7" s="222" t="e">
        <f t="shared" si="3"/>
        <v>#REF!</v>
      </c>
      <c r="N7" s="233" t="e">
        <f>FORMACIÓN!B36</f>
        <v>#DIV/0!</v>
      </c>
      <c r="O7" s="233" t="e">
        <f t="shared" si="4"/>
        <v>#REF!</v>
      </c>
    </row>
    <row r="8" spans="1:15" x14ac:dyDescent="0.25">
      <c r="A8" s="6" t="s">
        <v>611</v>
      </c>
      <c r="B8" s="199">
        <f>SUM(Asignación!K20)</f>
        <v>0</v>
      </c>
      <c r="C8" s="199" t="e">
        <f>SUM(#REF!)</f>
        <v>#REF!</v>
      </c>
      <c r="D8" s="199" t="e">
        <f t="shared" si="0"/>
        <v>#REF!</v>
      </c>
      <c r="E8" s="6" t="s">
        <v>611</v>
      </c>
      <c r="F8" s="222"/>
      <c r="G8" s="202"/>
      <c r="H8" s="6" t="s">
        <v>611</v>
      </c>
      <c r="I8" s="199" t="e">
        <f>SUM(#REF!)</f>
        <v>#REF!</v>
      </c>
      <c r="J8" s="199" t="e">
        <f>SUM(#REF!)</f>
        <v>#REF!</v>
      </c>
      <c r="K8" s="199" t="e">
        <f t="shared" si="2"/>
        <v>#REF!</v>
      </c>
      <c r="L8" s="6" t="s">
        <v>611</v>
      </c>
      <c r="M8" s="222" t="e">
        <f t="shared" si="3"/>
        <v>#REF!</v>
      </c>
      <c r="N8" s="233" t="e">
        <f>FORMACIÓN!B37</f>
        <v>#DIV/0!</v>
      </c>
      <c r="O8" s="233" t="e">
        <f t="shared" si="4"/>
        <v>#REF!</v>
      </c>
    </row>
    <row r="9" spans="1:15" x14ac:dyDescent="0.25">
      <c r="A9" s="6" t="s">
        <v>612</v>
      </c>
      <c r="B9" s="199">
        <f>SUM(Asignación!K22:K24)</f>
        <v>105500000</v>
      </c>
      <c r="C9" s="199" t="e">
        <f>SUM(#REF!)</f>
        <v>#REF!</v>
      </c>
      <c r="D9" s="199" t="e">
        <f t="shared" si="0"/>
        <v>#REF!</v>
      </c>
      <c r="E9" s="6" t="s">
        <v>612</v>
      </c>
      <c r="F9" s="222" t="e">
        <f t="shared" si="1"/>
        <v>#REF!</v>
      </c>
      <c r="G9" s="202"/>
      <c r="H9" s="6" t="s">
        <v>612</v>
      </c>
      <c r="I9" s="199" t="e">
        <f>SUM(#REF!)</f>
        <v>#REF!</v>
      </c>
      <c r="J9" s="199" t="e">
        <f>SUM(#REF!)</f>
        <v>#REF!</v>
      </c>
      <c r="K9" s="199" t="e">
        <f t="shared" si="2"/>
        <v>#REF!</v>
      </c>
      <c r="L9" s="6" t="s">
        <v>612</v>
      </c>
      <c r="M9" s="222" t="e">
        <f t="shared" si="3"/>
        <v>#REF!</v>
      </c>
      <c r="N9" s="233" t="e">
        <f>FORMACIÓN!B38</f>
        <v>#DIV/0!</v>
      </c>
      <c r="O9" s="233" t="e">
        <f t="shared" si="4"/>
        <v>#REF!</v>
      </c>
    </row>
    <row r="10" spans="1:15" x14ac:dyDescent="0.25">
      <c r="A10" s="207" t="s">
        <v>617</v>
      </c>
      <c r="B10" s="208">
        <f>SUM(B3:B9)</f>
        <v>1730258531</v>
      </c>
      <c r="C10" s="208" t="e">
        <f>SUM(C3:C9)</f>
        <v>#REF!</v>
      </c>
      <c r="D10" s="208" t="e">
        <f t="shared" si="0"/>
        <v>#REF!</v>
      </c>
      <c r="E10" s="238" t="s">
        <v>693</v>
      </c>
      <c r="F10" s="222" t="e">
        <f>SUM(F9+F7+F6+F5+F4+F3)/6</f>
        <v>#REF!</v>
      </c>
      <c r="G10" s="203"/>
      <c r="H10" s="247" t="s">
        <v>592</v>
      </c>
      <c r="I10" s="208" t="e">
        <f>SUM(I3:I9)</f>
        <v>#REF!</v>
      </c>
      <c r="J10" s="208" t="e">
        <f>SUM(J3:J9)</f>
        <v>#REF!</v>
      </c>
      <c r="K10" s="208" t="e">
        <f t="shared" si="2"/>
        <v>#REF!</v>
      </c>
      <c r="L10" s="238" t="s">
        <v>693</v>
      </c>
      <c r="M10" s="222" t="e">
        <f>AVERAGE(M3:M9)</f>
        <v>#REF!</v>
      </c>
      <c r="N10" s="233" t="e">
        <f t="shared" ref="N10:O10" si="5">AVERAGE(N3:N9)</f>
        <v>#DIV/0!</v>
      </c>
      <c r="O10" s="233" t="e">
        <f t="shared" si="5"/>
        <v>#REF!</v>
      </c>
    </row>
    <row r="11" spans="1:15" x14ac:dyDescent="0.25">
      <c r="B11" s="40"/>
      <c r="C11" s="40"/>
      <c r="D11" s="40"/>
    </row>
    <row r="12" spans="1:15" ht="15.75" thickBot="1" x14ac:dyDescent="0.3">
      <c r="A12" s="540" t="s">
        <v>618</v>
      </c>
      <c r="B12" s="540"/>
      <c r="C12" s="540"/>
      <c r="D12" s="540"/>
      <c r="H12" s="541" t="s">
        <v>664</v>
      </c>
      <c r="I12" s="541"/>
      <c r="J12" s="541"/>
      <c r="K12" s="541"/>
    </row>
    <row r="13" spans="1:15" x14ac:dyDescent="0.25">
      <c r="A13" s="194" t="s">
        <v>613</v>
      </c>
      <c r="B13" s="194" t="s">
        <v>614</v>
      </c>
      <c r="C13" s="194" t="s">
        <v>615</v>
      </c>
      <c r="D13" s="194" t="s">
        <v>616</v>
      </c>
      <c r="E13" s="223" t="s">
        <v>613</v>
      </c>
      <c r="F13" s="236" t="s">
        <v>5</v>
      </c>
      <c r="H13" s="253" t="s">
        <v>10</v>
      </c>
      <c r="I13" s="254" t="s">
        <v>614</v>
      </c>
      <c r="J13" s="254" t="s">
        <v>615</v>
      </c>
      <c r="K13" s="254" t="s">
        <v>616</v>
      </c>
      <c r="L13" s="254" t="s">
        <v>613</v>
      </c>
      <c r="M13" s="254" t="s">
        <v>5</v>
      </c>
      <c r="N13" s="254" t="s">
        <v>6</v>
      </c>
      <c r="O13" s="255" t="s">
        <v>7</v>
      </c>
    </row>
    <row r="14" spans="1:15" x14ac:dyDescent="0.25">
      <c r="A14" s="6" t="s">
        <v>620</v>
      </c>
      <c r="B14" s="199">
        <f>SUM(Asignación!K26:K30)</f>
        <v>2373305826</v>
      </c>
      <c r="C14" s="199" t="e">
        <f>SUM(#REF!)</f>
        <v>#REF!</v>
      </c>
      <c r="D14" s="199" t="e">
        <f>B14-C14</f>
        <v>#REF!</v>
      </c>
      <c r="E14" s="6" t="s">
        <v>620</v>
      </c>
      <c r="F14" s="222" t="e">
        <f>C14/B14</f>
        <v>#REF!</v>
      </c>
      <c r="H14" s="256" t="s">
        <v>620</v>
      </c>
      <c r="I14" s="199" t="e">
        <f>INVESTIGACIÓN!S8</f>
        <v>#REF!</v>
      </c>
      <c r="J14" s="199" t="e">
        <f>INVESTIGACIÓN!T8</f>
        <v>#REF!</v>
      </c>
      <c r="K14" s="199" t="e">
        <f>I14-J14</f>
        <v>#REF!</v>
      </c>
      <c r="L14" s="6" t="s">
        <v>620</v>
      </c>
      <c r="M14" s="245" t="e">
        <f>J14/I14</f>
        <v>#REF!</v>
      </c>
      <c r="N14" s="245" t="e">
        <f>INVESTIGACIÓN!B57</f>
        <v>#DIV/0!</v>
      </c>
      <c r="O14" s="257" t="e">
        <f>(M14+N14)/2</f>
        <v>#REF!</v>
      </c>
    </row>
    <row r="15" spans="1:15" x14ac:dyDescent="0.25">
      <c r="A15" s="6" t="s">
        <v>621</v>
      </c>
      <c r="B15" s="199">
        <f>SUM(Asignación!K31:K39)</f>
        <v>441907499</v>
      </c>
      <c r="C15" s="199" t="e">
        <f>SUM(#REF!)</f>
        <v>#REF!</v>
      </c>
      <c r="D15" s="199" t="e">
        <f t="shared" ref="D15:D21" si="6">B15-C15</f>
        <v>#REF!</v>
      </c>
      <c r="E15" s="6" t="s">
        <v>621</v>
      </c>
      <c r="F15" s="222" t="e">
        <f t="shared" ref="F15:F22" si="7">C15/B15</f>
        <v>#REF!</v>
      </c>
      <c r="H15" s="256" t="s">
        <v>621</v>
      </c>
      <c r="I15" s="199" t="e">
        <f>INVESTIGACIÓN!S9</f>
        <v>#REF!</v>
      </c>
      <c r="J15" s="199" t="e">
        <f>INVESTIGACIÓN!T9</f>
        <v>#REF!</v>
      </c>
      <c r="K15" s="199" t="e">
        <f t="shared" ref="K15:K20" si="8">I15-J15</f>
        <v>#REF!</v>
      </c>
      <c r="L15" s="6" t="s">
        <v>621</v>
      </c>
      <c r="M15" s="245" t="e">
        <f t="shared" ref="M15:M22" si="9">J15/I15</f>
        <v>#REF!</v>
      </c>
      <c r="N15" s="245" t="e">
        <f>INVESTIGACIÓN!B58</f>
        <v>#DIV/0!</v>
      </c>
      <c r="O15" s="257" t="e">
        <f t="shared" ref="O15:O22" si="10">(M15+N15)/2</f>
        <v>#REF!</v>
      </c>
    </row>
    <row r="16" spans="1:15" x14ac:dyDescent="0.25">
      <c r="A16" s="6" t="s">
        <v>622</v>
      </c>
      <c r="B16" s="199">
        <f>SUM(Asignación!K40:K43)</f>
        <v>190000000</v>
      </c>
      <c r="C16" s="199" t="e">
        <f>SUM(#REF!)</f>
        <v>#REF!</v>
      </c>
      <c r="D16" s="199" t="e">
        <f t="shared" si="6"/>
        <v>#REF!</v>
      </c>
      <c r="E16" s="6" t="s">
        <v>622</v>
      </c>
      <c r="F16" s="222" t="e">
        <f t="shared" si="7"/>
        <v>#REF!</v>
      </c>
      <c r="H16" s="256" t="s">
        <v>622</v>
      </c>
      <c r="I16" s="199" t="e">
        <f>INVESTIGACIÓN!S10</f>
        <v>#REF!</v>
      </c>
      <c r="J16" s="199" t="e">
        <f>INVESTIGACIÓN!T10</f>
        <v>#REF!</v>
      </c>
      <c r="K16" s="199" t="e">
        <f t="shared" si="8"/>
        <v>#REF!</v>
      </c>
      <c r="L16" s="6" t="s">
        <v>622</v>
      </c>
      <c r="M16" s="245" t="e">
        <f t="shared" si="9"/>
        <v>#REF!</v>
      </c>
      <c r="N16" s="245" t="e">
        <f>INVESTIGACIÓN!B59</f>
        <v>#DIV/0!</v>
      </c>
      <c r="O16" s="257" t="e">
        <f t="shared" si="10"/>
        <v>#REF!</v>
      </c>
    </row>
    <row r="17" spans="1:15" x14ac:dyDescent="0.25">
      <c r="A17" s="6" t="s">
        <v>623</v>
      </c>
      <c r="B17" s="199">
        <f>SUM(Asignación!K44:K45)</f>
        <v>115000000</v>
      </c>
      <c r="C17" s="199" t="e">
        <f>SUM(#REF!)</f>
        <v>#REF!</v>
      </c>
      <c r="D17" s="199" t="e">
        <f t="shared" si="6"/>
        <v>#REF!</v>
      </c>
      <c r="E17" s="6" t="s">
        <v>623</v>
      </c>
      <c r="F17" s="222" t="e">
        <f t="shared" si="7"/>
        <v>#REF!</v>
      </c>
      <c r="H17" s="256" t="s">
        <v>623</v>
      </c>
      <c r="I17" s="199" t="e">
        <f>INVESTIGACIÓN!S11</f>
        <v>#REF!</v>
      </c>
      <c r="J17" s="199" t="e">
        <f>INVESTIGACIÓN!T11</f>
        <v>#REF!</v>
      </c>
      <c r="K17" s="199" t="e">
        <f t="shared" si="8"/>
        <v>#REF!</v>
      </c>
      <c r="L17" s="6" t="s">
        <v>623</v>
      </c>
      <c r="M17" s="245" t="e">
        <f t="shared" si="9"/>
        <v>#REF!</v>
      </c>
      <c r="N17" s="245" t="e">
        <f>INVESTIGACIÓN!B60</f>
        <v>#DIV/0!</v>
      </c>
      <c r="O17" s="257" t="e">
        <f t="shared" si="10"/>
        <v>#REF!</v>
      </c>
    </row>
    <row r="18" spans="1:15" x14ac:dyDescent="0.25">
      <c r="A18" s="6" t="s">
        <v>624</v>
      </c>
      <c r="B18" s="199">
        <f>SUM(Asignación!K46:K48)</f>
        <v>3239557814</v>
      </c>
      <c r="C18" s="199" t="e">
        <f>SUM(#REF!)</f>
        <v>#REF!</v>
      </c>
      <c r="D18" s="199" t="e">
        <f t="shared" si="6"/>
        <v>#REF!</v>
      </c>
      <c r="E18" s="6" t="s">
        <v>624</v>
      </c>
      <c r="F18" s="222" t="e">
        <f t="shared" si="7"/>
        <v>#REF!</v>
      </c>
      <c r="H18" s="256" t="s">
        <v>624</v>
      </c>
      <c r="I18" s="199" t="e">
        <f>INVESTIGACIÓN!S12</f>
        <v>#REF!</v>
      </c>
      <c r="J18" s="199" t="e">
        <f>INVESTIGACIÓN!T12</f>
        <v>#REF!</v>
      </c>
      <c r="K18" s="199" t="e">
        <f t="shared" si="8"/>
        <v>#REF!</v>
      </c>
      <c r="L18" s="6" t="s">
        <v>624</v>
      </c>
      <c r="M18" s="245" t="e">
        <f t="shared" si="9"/>
        <v>#REF!</v>
      </c>
      <c r="N18" s="245" t="e">
        <f>INVESTIGACIÓN!B61</f>
        <v>#DIV/0!</v>
      </c>
      <c r="O18" s="257" t="e">
        <f t="shared" si="10"/>
        <v>#REF!</v>
      </c>
    </row>
    <row r="19" spans="1:15" x14ac:dyDescent="0.25">
      <c r="A19" s="6" t="s">
        <v>625</v>
      </c>
      <c r="B19" s="199">
        <f>SUM(Asignación!K49:K52)</f>
        <v>0</v>
      </c>
      <c r="C19" s="199" t="e">
        <f>SUM(#REF!)</f>
        <v>#REF!</v>
      </c>
      <c r="D19" s="199" t="e">
        <f t="shared" si="6"/>
        <v>#REF!</v>
      </c>
      <c r="E19" s="6" t="s">
        <v>625</v>
      </c>
      <c r="F19" s="222" t="e">
        <f t="shared" si="7"/>
        <v>#REF!</v>
      </c>
      <c r="H19" s="256" t="s">
        <v>625</v>
      </c>
      <c r="I19" s="199" t="e">
        <f>INVESTIGACIÓN!S13</f>
        <v>#REF!</v>
      </c>
      <c r="J19" s="199" t="e">
        <f>INVESTIGACIÓN!T13</f>
        <v>#REF!</v>
      </c>
      <c r="K19" s="199" t="e">
        <f t="shared" si="8"/>
        <v>#REF!</v>
      </c>
      <c r="L19" s="6" t="s">
        <v>625</v>
      </c>
      <c r="M19" s="245" t="e">
        <f t="shared" si="9"/>
        <v>#REF!</v>
      </c>
      <c r="N19" s="245" t="e">
        <f>INVESTIGACIÓN!B62</f>
        <v>#DIV/0!</v>
      </c>
      <c r="O19" s="257" t="e">
        <f t="shared" si="10"/>
        <v>#REF!</v>
      </c>
    </row>
    <row r="20" spans="1:15" x14ac:dyDescent="0.25">
      <c r="A20" s="6" t="s">
        <v>626</v>
      </c>
      <c r="B20" s="199">
        <f>SUM(Asignación!K53:K54)</f>
        <v>0</v>
      </c>
      <c r="C20" s="199" t="e">
        <f>SUM(#REF!)</f>
        <v>#REF!</v>
      </c>
      <c r="D20" s="199" t="e">
        <f t="shared" si="6"/>
        <v>#REF!</v>
      </c>
      <c r="E20" s="6" t="s">
        <v>626</v>
      </c>
      <c r="F20" s="222" t="e">
        <f t="shared" si="7"/>
        <v>#REF!</v>
      </c>
      <c r="H20" s="256" t="s">
        <v>626</v>
      </c>
      <c r="I20" s="199" t="e">
        <f>INVESTIGACIÓN!S14</f>
        <v>#REF!</v>
      </c>
      <c r="J20" s="199" t="e">
        <f>INVESTIGACIÓN!T14</f>
        <v>#REF!</v>
      </c>
      <c r="K20" s="199" t="e">
        <f t="shared" si="8"/>
        <v>#REF!</v>
      </c>
      <c r="L20" s="6" t="s">
        <v>626</v>
      </c>
      <c r="M20" s="245" t="e">
        <f t="shared" si="9"/>
        <v>#REF!</v>
      </c>
      <c r="N20" s="245" t="e">
        <f>INVESTIGACIÓN!B63</f>
        <v>#DIV/0!</v>
      </c>
      <c r="O20" s="257" t="e">
        <f t="shared" si="10"/>
        <v>#REF!</v>
      </c>
    </row>
    <row r="21" spans="1:15" x14ac:dyDescent="0.25">
      <c r="A21" s="6" t="s">
        <v>627</v>
      </c>
      <c r="B21" s="199">
        <f>SUM(Asignación!K55:K56)</f>
        <v>105000000</v>
      </c>
      <c r="C21" s="199" t="e">
        <f>SUM(#REF!)</f>
        <v>#REF!</v>
      </c>
      <c r="D21" s="199" t="e">
        <f t="shared" si="6"/>
        <v>#REF!</v>
      </c>
      <c r="E21" s="6" t="s">
        <v>627</v>
      </c>
      <c r="F21" s="222" t="e">
        <f t="shared" si="7"/>
        <v>#REF!</v>
      </c>
      <c r="H21" s="256" t="s">
        <v>627</v>
      </c>
      <c r="I21" s="199" t="e">
        <f>INVESTIGACIÓN!S15</f>
        <v>#REF!</v>
      </c>
      <c r="J21" s="199" t="e">
        <f>INVESTIGACIÓN!T15</f>
        <v>#REF!</v>
      </c>
      <c r="K21" s="199" t="e">
        <f t="shared" ref="K21:K22" si="11">I21-J21</f>
        <v>#REF!</v>
      </c>
      <c r="L21" s="6" t="s">
        <v>627</v>
      </c>
      <c r="M21" s="245" t="e">
        <f t="shared" si="9"/>
        <v>#REF!</v>
      </c>
      <c r="N21" s="245" t="e">
        <f>INVESTIGACIÓN!B64</f>
        <v>#DIV/0!</v>
      </c>
      <c r="O21" s="257" t="e">
        <f t="shared" si="10"/>
        <v>#REF!</v>
      </c>
    </row>
    <row r="22" spans="1:15" x14ac:dyDescent="0.25">
      <c r="A22" s="6" t="s">
        <v>628</v>
      </c>
      <c r="B22" s="199">
        <f>SUM(Asignación!K57:K62)</f>
        <v>317267490</v>
      </c>
      <c r="C22" s="199" t="e">
        <f>SUM(#REF!)</f>
        <v>#REF!</v>
      </c>
      <c r="D22" s="199" t="e">
        <f>B22-C22</f>
        <v>#REF!</v>
      </c>
      <c r="E22" s="6" t="s">
        <v>628</v>
      </c>
      <c r="F22" s="222" t="e">
        <f t="shared" si="7"/>
        <v>#REF!</v>
      </c>
      <c r="H22" s="256" t="s">
        <v>628</v>
      </c>
      <c r="I22" s="199" t="e">
        <f>INVESTIGACIÓN!S16</f>
        <v>#REF!</v>
      </c>
      <c r="J22" s="199" t="e">
        <f>INVESTIGACIÓN!T16</f>
        <v>#REF!</v>
      </c>
      <c r="K22" s="199" t="e">
        <f t="shared" si="11"/>
        <v>#REF!</v>
      </c>
      <c r="L22" s="6" t="s">
        <v>628</v>
      </c>
      <c r="M22" s="245" t="e">
        <f t="shared" si="9"/>
        <v>#REF!</v>
      </c>
      <c r="N22" s="245" t="e">
        <f>INVESTIGACIÓN!B65</f>
        <v>#DIV/0!</v>
      </c>
      <c r="O22" s="257" t="e">
        <f t="shared" si="10"/>
        <v>#REF!</v>
      </c>
    </row>
    <row r="23" spans="1:15" ht="15.75" thickBot="1" x14ac:dyDescent="0.3">
      <c r="A23" s="194" t="s">
        <v>617</v>
      </c>
      <c r="B23" s="204">
        <f>SUM(B14:B22)</f>
        <v>6782038629</v>
      </c>
      <c r="C23" s="204" t="e">
        <f t="shared" ref="C23:D23" si="12">SUM(C14:C22)</f>
        <v>#REF!</v>
      </c>
      <c r="D23" s="204" t="e">
        <f t="shared" si="12"/>
        <v>#REF!</v>
      </c>
      <c r="F23" s="222" t="e">
        <f>SUM(F22+F21+F18+F17+F16+F15+F14)/7</f>
        <v>#REF!</v>
      </c>
      <c r="H23" s="264" t="s">
        <v>592</v>
      </c>
      <c r="I23" s="265" t="e">
        <f>SUM(I14:I22)</f>
        <v>#REF!</v>
      </c>
      <c r="J23" s="265" t="e">
        <f t="shared" ref="J23:K23" si="13">SUM(J14:J22)</f>
        <v>#REF!</v>
      </c>
      <c r="K23" s="265" t="e">
        <f t="shared" si="13"/>
        <v>#REF!</v>
      </c>
      <c r="L23" s="266"/>
      <c r="M23" s="267" t="e">
        <f>AVERAGE(M14:M22)</f>
        <v>#REF!</v>
      </c>
      <c r="N23" s="267" t="e">
        <f>AVERAGE(N14:N22)</f>
        <v>#DIV/0!</v>
      </c>
      <c r="O23" s="268" t="e">
        <f>AVERAGE(O14:O22)</f>
        <v>#REF!</v>
      </c>
    </row>
    <row r="24" spans="1:15" x14ac:dyDescent="0.25">
      <c r="D24" s="40"/>
    </row>
    <row r="25" spans="1:15" x14ac:dyDescent="0.25">
      <c r="A25" s="540" t="s">
        <v>647</v>
      </c>
      <c r="B25" s="540"/>
      <c r="C25" s="540"/>
      <c r="D25" s="540"/>
      <c r="H25" s="540" t="s">
        <v>665</v>
      </c>
      <c r="I25" s="540"/>
      <c r="J25" s="540"/>
      <c r="K25" s="540"/>
    </row>
    <row r="26" spans="1:15" x14ac:dyDescent="0.25">
      <c r="A26" s="194" t="s">
        <v>613</v>
      </c>
      <c r="B26" s="194" t="s">
        <v>614</v>
      </c>
      <c r="C26" s="194" t="s">
        <v>615</v>
      </c>
      <c r="D26" s="194" t="s">
        <v>616</v>
      </c>
      <c r="E26" s="223" t="s">
        <v>613</v>
      </c>
      <c r="F26" s="236" t="s">
        <v>5</v>
      </c>
      <c r="H26" s="206" t="s">
        <v>613</v>
      </c>
      <c r="I26" s="206" t="s">
        <v>614</v>
      </c>
      <c r="J26" s="206" t="s">
        <v>615</v>
      </c>
      <c r="K26" s="206" t="s">
        <v>616</v>
      </c>
      <c r="L26" s="223" t="s">
        <v>613</v>
      </c>
      <c r="M26" s="236" t="s">
        <v>5</v>
      </c>
      <c r="N26" s="236" t="s">
        <v>6</v>
      </c>
      <c r="O26" s="236" t="s">
        <v>7</v>
      </c>
    </row>
    <row r="27" spans="1:15" x14ac:dyDescent="0.25">
      <c r="A27" s="6" t="s">
        <v>639</v>
      </c>
      <c r="B27" s="199">
        <f>SUM(Asignación!K65:K67)</f>
        <v>171000000</v>
      </c>
      <c r="C27" s="199" t="e">
        <f>SUM(#REF!)</f>
        <v>#REF!</v>
      </c>
      <c r="D27" s="199" t="e">
        <f t="shared" ref="D27:D34" si="14">B27-C27</f>
        <v>#REF!</v>
      </c>
      <c r="E27" s="6" t="s">
        <v>639</v>
      </c>
      <c r="F27" s="222" t="e">
        <f>C27/B27</f>
        <v>#REF!</v>
      </c>
      <c r="H27" s="6" t="s">
        <v>639</v>
      </c>
      <c r="I27" s="199" t="e">
        <f>'PROPYECCION SOCIAL'!R8</f>
        <v>#REF!</v>
      </c>
      <c r="J27" s="199" t="e">
        <f>'PROPYECCION SOCIAL'!S8</f>
        <v>#REF!</v>
      </c>
      <c r="K27" s="199" t="e">
        <f t="shared" ref="K27:K34" si="15">I27-J27</f>
        <v>#REF!</v>
      </c>
      <c r="L27" s="6" t="s">
        <v>639</v>
      </c>
      <c r="M27" s="222" t="e">
        <f>J27/I27</f>
        <v>#REF!</v>
      </c>
      <c r="N27" s="243" t="e">
        <f>'PROPYECCION SOCIAL'!B30</f>
        <v>#DIV/0!</v>
      </c>
      <c r="O27" s="243" t="e">
        <f>(M27+N27)/2</f>
        <v>#REF!</v>
      </c>
    </row>
    <row r="28" spans="1:15" x14ac:dyDescent="0.25">
      <c r="A28" s="6" t="s">
        <v>640</v>
      </c>
      <c r="B28" s="199">
        <f>SUM(Asignación!K68:K68)</f>
        <v>34826876</v>
      </c>
      <c r="C28" s="199" t="e">
        <f>SUM(#REF!)</f>
        <v>#REF!</v>
      </c>
      <c r="D28" s="199" t="e">
        <f t="shared" si="14"/>
        <v>#REF!</v>
      </c>
      <c r="E28" s="6" t="s">
        <v>640</v>
      </c>
      <c r="F28" s="222" t="e">
        <f t="shared" ref="F28:F34" si="16">C28/B28</f>
        <v>#REF!</v>
      </c>
      <c r="H28" s="6" t="s">
        <v>640</v>
      </c>
      <c r="I28" s="199" t="e">
        <f>'PROPYECCION SOCIAL'!R9</f>
        <v>#REF!</v>
      </c>
      <c r="J28" s="199" t="e">
        <f>'PROPYECCION SOCIAL'!S9</f>
        <v>#REF!</v>
      </c>
      <c r="K28" s="199" t="e">
        <f t="shared" si="15"/>
        <v>#REF!</v>
      </c>
      <c r="L28" s="6" t="s">
        <v>640</v>
      </c>
      <c r="M28" s="222" t="e">
        <f t="shared" ref="M28:M34" si="17">J28/I28</f>
        <v>#REF!</v>
      </c>
      <c r="N28" s="243" t="e">
        <f>'PROPYECCION SOCIAL'!B31</f>
        <v>#DIV/0!</v>
      </c>
      <c r="O28" s="243" t="e">
        <f t="shared" ref="O28:O34" si="18">(M28+N28)/2</f>
        <v>#REF!</v>
      </c>
    </row>
    <row r="29" spans="1:15" x14ac:dyDescent="0.25">
      <c r="A29" s="6" t="s">
        <v>641</v>
      </c>
      <c r="B29" s="199">
        <f>SUM(Asignación!K69:K76)</f>
        <v>1558017013</v>
      </c>
      <c r="C29" s="6" t="e">
        <f>SUM(#REF!)</f>
        <v>#REF!</v>
      </c>
      <c r="D29" s="199" t="e">
        <f t="shared" si="14"/>
        <v>#REF!</v>
      </c>
      <c r="E29" s="6" t="s">
        <v>641</v>
      </c>
      <c r="F29" s="222" t="e">
        <f t="shared" si="16"/>
        <v>#REF!</v>
      </c>
      <c r="H29" s="6" t="s">
        <v>641</v>
      </c>
      <c r="I29" s="199" t="e">
        <f>'PROPYECCION SOCIAL'!R10</f>
        <v>#REF!</v>
      </c>
      <c r="J29" s="199" t="e">
        <f>'PROPYECCION SOCIAL'!S10</f>
        <v>#REF!</v>
      </c>
      <c r="K29" s="199" t="e">
        <f t="shared" si="15"/>
        <v>#REF!</v>
      </c>
      <c r="L29" s="6" t="s">
        <v>641</v>
      </c>
      <c r="M29" s="222" t="e">
        <f t="shared" si="17"/>
        <v>#REF!</v>
      </c>
      <c r="N29" s="243" t="e">
        <f>'PROPYECCION SOCIAL'!B32</f>
        <v>#DIV/0!</v>
      </c>
      <c r="O29" s="243" t="e">
        <f t="shared" si="18"/>
        <v>#REF!</v>
      </c>
    </row>
    <row r="30" spans="1:15" x14ac:dyDescent="0.25">
      <c r="A30" s="6" t="s">
        <v>642</v>
      </c>
      <c r="B30" s="199">
        <f>SUM(Asignación!K77:K82)</f>
        <v>30000000</v>
      </c>
      <c r="C30" s="199" t="e">
        <f>SUM(#REF!)</f>
        <v>#REF!</v>
      </c>
      <c r="D30" s="199" t="e">
        <f t="shared" si="14"/>
        <v>#REF!</v>
      </c>
      <c r="E30" s="6" t="s">
        <v>642</v>
      </c>
      <c r="F30" s="222" t="e">
        <f t="shared" si="16"/>
        <v>#REF!</v>
      </c>
      <c r="H30" s="6" t="s">
        <v>642</v>
      </c>
      <c r="I30" s="199" t="e">
        <f>'PROPYECCION SOCIAL'!R11</f>
        <v>#REF!</v>
      </c>
      <c r="J30" s="199" t="e">
        <f>'PROPYECCION SOCIAL'!S11</f>
        <v>#REF!</v>
      </c>
      <c r="K30" s="199" t="e">
        <f t="shared" si="15"/>
        <v>#REF!</v>
      </c>
      <c r="L30" s="6" t="s">
        <v>642</v>
      </c>
      <c r="M30" s="222" t="e">
        <f t="shared" si="17"/>
        <v>#REF!</v>
      </c>
      <c r="N30" s="243" t="e">
        <f>'PROPYECCION SOCIAL'!B33</f>
        <v>#DIV/0!</v>
      </c>
      <c r="O30" s="243" t="e">
        <f t="shared" si="18"/>
        <v>#REF!</v>
      </c>
    </row>
    <row r="31" spans="1:15" x14ac:dyDescent="0.25">
      <c r="A31" s="6" t="s">
        <v>643</v>
      </c>
      <c r="B31" s="199">
        <f>SUM(Asignación!K83:K85)</f>
        <v>20000000</v>
      </c>
      <c r="C31" s="199" t="e">
        <f>SUM(#REF!)</f>
        <v>#REF!</v>
      </c>
      <c r="D31" s="199" t="e">
        <f t="shared" si="14"/>
        <v>#REF!</v>
      </c>
      <c r="E31" s="6" t="s">
        <v>643</v>
      </c>
      <c r="F31" s="222" t="e">
        <f t="shared" si="16"/>
        <v>#REF!</v>
      </c>
      <c r="H31" s="6" t="s">
        <v>643</v>
      </c>
      <c r="I31" s="199" t="e">
        <f>'PROPYECCION SOCIAL'!R12</f>
        <v>#REF!</v>
      </c>
      <c r="J31" s="199" t="e">
        <f>'PROPYECCION SOCIAL'!S12</f>
        <v>#REF!</v>
      </c>
      <c r="K31" s="199" t="e">
        <f t="shared" si="15"/>
        <v>#REF!</v>
      </c>
      <c r="L31" s="6" t="s">
        <v>643</v>
      </c>
      <c r="M31" s="222" t="e">
        <f t="shared" si="17"/>
        <v>#REF!</v>
      </c>
      <c r="N31" s="243" t="e">
        <f>'PROPYECCION SOCIAL'!B34</f>
        <v>#DIV/0!</v>
      </c>
      <c r="O31" s="243" t="e">
        <f t="shared" si="18"/>
        <v>#REF!</v>
      </c>
    </row>
    <row r="32" spans="1:15" x14ac:dyDescent="0.25">
      <c r="A32" s="6" t="s">
        <v>644</v>
      </c>
      <c r="B32" s="199">
        <f>SUM(Asignación!K86:K89)</f>
        <v>20000000</v>
      </c>
      <c r="C32" s="199" t="e">
        <f>SUM(#REF!)</f>
        <v>#REF!</v>
      </c>
      <c r="D32" s="199" t="e">
        <f t="shared" si="14"/>
        <v>#REF!</v>
      </c>
      <c r="E32" s="6" t="s">
        <v>644</v>
      </c>
      <c r="F32" s="222" t="e">
        <f t="shared" si="16"/>
        <v>#REF!</v>
      </c>
      <c r="H32" s="6" t="s">
        <v>644</v>
      </c>
      <c r="I32" s="199" t="e">
        <f>'PROPYECCION SOCIAL'!R13</f>
        <v>#REF!</v>
      </c>
      <c r="J32" s="199" t="e">
        <f>'PROPYECCION SOCIAL'!S13</f>
        <v>#REF!</v>
      </c>
      <c r="K32" s="199" t="e">
        <f t="shared" si="15"/>
        <v>#REF!</v>
      </c>
      <c r="L32" s="6" t="s">
        <v>644</v>
      </c>
      <c r="M32" s="222" t="e">
        <f t="shared" si="17"/>
        <v>#REF!</v>
      </c>
      <c r="N32" s="243" t="e">
        <f>'PROPYECCION SOCIAL'!B35</f>
        <v>#DIV/0!</v>
      </c>
      <c r="O32" s="243" t="e">
        <f t="shared" si="18"/>
        <v>#REF!</v>
      </c>
    </row>
    <row r="33" spans="1:15" x14ac:dyDescent="0.25">
      <c r="A33" s="6" t="s">
        <v>645</v>
      </c>
      <c r="B33" s="199">
        <f>SUM(Asignación!K90:K91)</f>
        <v>10000000</v>
      </c>
      <c r="C33" s="199" t="e">
        <f>SUM(#REF!)</f>
        <v>#REF!</v>
      </c>
      <c r="D33" s="199" t="e">
        <f t="shared" si="14"/>
        <v>#REF!</v>
      </c>
      <c r="E33" s="6" t="s">
        <v>645</v>
      </c>
      <c r="F33" s="222" t="e">
        <f t="shared" si="16"/>
        <v>#REF!</v>
      </c>
      <c r="H33" s="6" t="s">
        <v>645</v>
      </c>
      <c r="I33" s="199" t="e">
        <f>'PROPYECCION SOCIAL'!R14</f>
        <v>#REF!</v>
      </c>
      <c r="J33" s="199" t="e">
        <f>'PROPYECCION SOCIAL'!S14</f>
        <v>#REF!</v>
      </c>
      <c r="K33" s="199" t="e">
        <f t="shared" si="15"/>
        <v>#REF!</v>
      </c>
      <c r="L33" s="6" t="s">
        <v>645</v>
      </c>
      <c r="M33" s="222" t="e">
        <f t="shared" si="17"/>
        <v>#REF!</v>
      </c>
      <c r="N33" s="243" t="e">
        <f>'PROPYECCION SOCIAL'!B36</f>
        <v>#DIV/0!</v>
      </c>
      <c r="O33" s="243" t="e">
        <f t="shared" si="18"/>
        <v>#REF!</v>
      </c>
    </row>
    <row r="34" spans="1:15" x14ac:dyDescent="0.25">
      <c r="A34" s="6" t="s">
        <v>646</v>
      </c>
      <c r="B34" s="199">
        <f>SUM(Asignación!K92:K95)</f>
        <v>234029791</v>
      </c>
      <c r="C34" s="199" t="e">
        <f>SUM(#REF!)</f>
        <v>#REF!</v>
      </c>
      <c r="D34" s="199" t="e">
        <f t="shared" si="14"/>
        <v>#REF!</v>
      </c>
      <c r="E34" s="6" t="s">
        <v>646</v>
      </c>
      <c r="F34" s="222" t="e">
        <f t="shared" si="16"/>
        <v>#REF!</v>
      </c>
      <c r="H34" s="6" t="s">
        <v>646</v>
      </c>
      <c r="I34" s="199" t="e">
        <f>'PROPYECCION SOCIAL'!R15</f>
        <v>#REF!</v>
      </c>
      <c r="J34" s="199" t="e">
        <f>'PROPYECCION SOCIAL'!S15</f>
        <v>#REF!</v>
      </c>
      <c r="K34" s="199" t="e">
        <f t="shared" si="15"/>
        <v>#REF!</v>
      </c>
      <c r="L34" s="6" t="s">
        <v>646</v>
      </c>
      <c r="M34" s="222" t="e">
        <f t="shared" si="17"/>
        <v>#REF!</v>
      </c>
      <c r="N34" s="243" t="e">
        <f>'PROPYECCION SOCIAL'!B37</f>
        <v>#DIV/0!</v>
      </c>
      <c r="O34" s="243" t="e">
        <f t="shared" si="18"/>
        <v>#REF!</v>
      </c>
    </row>
    <row r="35" spans="1:15" x14ac:dyDescent="0.25">
      <c r="A35" s="194" t="s">
        <v>617</v>
      </c>
      <c r="B35" s="204">
        <f>SUM(B27:B34)</f>
        <v>2077873680</v>
      </c>
      <c r="C35" s="204" t="e">
        <f t="shared" ref="C35:D35" si="19">SUM(C27:C34)</f>
        <v>#REF!</v>
      </c>
      <c r="D35" s="204" t="e">
        <f t="shared" si="19"/>
        <v>#REF!</v>
      </c>
      <c r="F35" s="222" t="e">
        <f>AVERAGE(F27:F34)</f>
        <v>#REF!</v>
      </c>
      <c r="H35" s="206" t="s">
        <v>617</v>
      </c>
      <c r="I35" s="204" t="e">
        <f>SUM(I27:I34)</f>
        <v>#REF!</v>
      </c>
      <c r="J35" s="204" t="e">
        <f t="shared" ref="J35:K35" si="20">SUM(J27:J34)</f>
        <v>#REF!</v>
      </c>
      <c r="K35" s="204" t="e">
        <f t="shared" si="20"/>
        <v>#REF!</v>
      </c>
      <c r="M35" s="243" t="e">
        <f>AVERAGE(M27:M34)</f>
        <v>#REF!</v>
      </c>
      <c r="N35" s="243" t="e">
        <f>AVERAGE(N27:N34)</f>
        <v>#DIV/0!</v>
      </c>
      <c r="O35" s="243" t="e">
        <f>AVERAGE(O27:O34)</f>
        <v>#REF!</v>
      </c>
    </row>
    <row r="38" spans="1:15" ht="15.75" thickBot="1" x14ac:dyDescent="0.3">
      <c r="A38" s="540" t="s">
        <v>648</v>
      </c>
      <c r="B38" s="540"/>
      <c r="C38" s="540"/>
      <c r="D38" s="540"/>
      <c r="H38" s="541" t="s">
        <v>692</v>
      </c>
      <c r="I38" s="541"/>
      <c r="J38" s="541"/>
      <c r="K38" s="541"/>
    </row>
    <row r="39" spans="1:15" x14ac:dyDescent="0.25">
      <c r="A39" s="194" t="s">
        <v>613</v>
      </c>
      <c r="B39" s="194" t="s">
        <v>614</v>
      </c>
      <c r="C39" s="194" t="s">
        <v>615</v>
      </c>
      <c r="D39" s="194" t="s">
        <v>616</v>
      </c>
      <c r="E39" s="223" t="s">
        <v>613</v>
      </c>
      <c r="F39" s="236" t="s">
        <v>5</v>
      </c>
      <c r="H39" s="253" t="s">
        <v>613</v>
      </c>
      <c r="I39" s="254" t="s">
        <v>614</v>
      </c>
      <c r="J39" s="254" t="s">
        <v>615</v>
      </c>
      <c r="K39" s="254" t="s">
        <v>616</v>
      </c>
      <c r="L39" s="254" t="s">
        <v>613</v>
      </c>
      <c r="M39" s="254" t="s">
        <v>5</v>
      </c>
      <c r="N39" s="254" t="s">
        <v>6</v>
      </c>
      <c r="O39" s="255" t="s">
        <v>7</v>
      </c>
    </row>
    <row r="40" spans="1:15" x14ac:dyDescent="0.25">
      <c r="A40" s="191" t="s">
        <v>651</v>
      </c>
      <c r="B40" s="199">
        <f>SUM(Asignación!K97:K104)</f>
        <v>416955000</v>
      </c>
      <c r="C40" s="199" t="e">
        <f>SUM(#REF!)</f>
        <v>#REF!</v>
      </c>
      <c r="D40" s="199" t="e">
        <f t="shared" ref="D40:D45" si="21">B40-C40</f>
        <v>#REF!</v>
      </c>
      <c r="E40" s="221" t="s">
        <v>651</v>
      </c>
      <c r="F40" s="222" t="e">
        <f>C40/B40</f>
        <v>#REF!</v>
      </c>
      <c r="H40" s="269" t="s">
        <v>651</v>
      </c>
      <c r="I40" s="199" t="e">
        <f>BIENESTAR!R8</f>
        <v>#REF!</v>
      </c>
      <c r="J40" s="199" t="e">
        <f>BIENESTAR!S8</f>
        <v>#REF!</v>
      </c>
      <c r="K40" s="199" t="e">
        <f t="shared" ref="K40:K45" si="22">I40-J40</f>
        <v>#REF!</v>
      </c>
      <c r="L40" s="241" t="s">
        <v>651</v>
      </c>
      <c r="M40" s="245" t="e">
        <f>J40/I40</f>
        <v>#REF!</v>
      </c>
      <c r="N40" s="245" t="e">
        <f>BIENESTAR!B28</f>
        <v>#DIV/0!</v>
      </c>
      <c r="O40" s="257" t="e">
        <f>(M40+N40)/2</f>
        <v>#REF!</v>
      </c>
    </row>
    <row r="41" spans="1:15" x14ac:dyDescent="0.25">
      <c r="A41" s="191" t="s">
        <v>652</v>
      </c>
      <c r="B41" s="199">
        <f>SUM(Asignación!K105)</f>
        <v>415000000</v>
      </c>
      <c r="C41" s="199" t="e">
        <f>SUM(#REF!)</f>
        <v>#REF!</v>
      </c>
      <c r="D41" s="199" t="e">
        <f t="shared" si="21"/>
        <v>#REF!</v>
      </c>
      <c r="E41" s="221" t="s">
        <v>652</v>
      </c>
      <c r="F41" s="222" t="e">
        <f t="shared" ref="F41:F45" si="23">C41/B41</f>
        <v>#REF!</v>
      </c>
      <c r="H41" s="269" t="s">
        <v>652</v>
      </c>
      <c r="I41" s="199" t="e">
        <f>BIENESTAR!R9</f>
        <v>#REF!</v>
      </c>
      <c r="J41" s="199" t="e">
        <f>BIENESTAR!S9</f>
        <v>#REF!</v>
      </c>
      <c r="K41" s="199" t="e">
        <f t="shared" si="22"/>
        <v>#REF!</v>
      </c>
      <c r="L41" s="241" t="s">
        <v>652</v>
      </c>
      <c r="M41" s="245" t="e">
        <f t="shared" ref="M41:M45" si="24">J41/I41</f>
        <v>#REF!</v>
      </c>
      <c r="N41" s="245">
        <f>BIENESTAR!B29</f>
        <v>1</v>
      </c>
      <c r="O41" s="257" t="e">
        <f t="shared" ref="O41:O45" si="25">(M41+N41)/2</f>
        <v>#REF!</v>
      </c>
    </row>
    <row r="42" spans="1:15" x14ac:dyDescent="0.25">
      <c r="A42" s="191" t="s">
        <v>653</v>
      </c>
      <c r="B42" s="199">
        <f>SUM(Asignación!K106)</f>
        <v>408450000</v>
      </c>
      <c r="C42" s="199" t="e">
        <f>SUM(#REF!)</f>
        <v>#REF!</v>
      </c>
      <c r="D42" s="199" t="e">
        <f t="shared" si="21"/>
        <v>#REF!</v>
      </c>
      <c r="E42" s="221" t="s">
        <v>653</v>
      </c>
      <c r="F42" s="222" t="e">
        <f t="shared" si="23"/>
        <v>#REF!</v>
      </c>
      <c r="H42" s="269" t="s">
        <v>653</v>
      </c>
      <c r="I42" s="199" t="e">
        <f>BIENESTAR!R10</f>
        <v>#REF!</v>
      </c>
      <c r="J42" s="199" t="e">
        <f>BIENESTAR!S10</f>
        <v>#REF!</v>
      </c>
      <c r="K42" s="199" t="e">
        <f t="shared" si="22"/>
        <v>#REF!</v>
      </c>
      <c r="L42" s="241" t="s">
        <v>653</v>
      </c>
      <c r="M42" s="245" t="e">
        <f t="shared" si="24"/>
        <v>#REF!</v>
      </c>
      <c r="N42" s="245">
        <f>BIENESTAR!B30</f>
        <v>1</v>
      </c>
      <c r="O42" s="257" t="e">
        <f t="shared" si="25"/>
        <v>#REF!</v>
      </c>
    </row>
    <row r="43" spans="1:15" x14ac:dyDescent="0.25">
      <c r="A43" s="191" t="s">
        <v>654</v>
      </c>
      <c r="B43" s="199">
        <f>SUM(Asignación!K107)</f>
        <v>76465225</v>
      </c>
      <c r="C43" s="199" t="e">
        <f>SUM(#REF!)</f>
        <v>#REF!</v>
      </c>
      <c r="D43" s="199" t="e">
        <f t="shared" si="21"/>
        <v>#REF!</v>
      </c>
      <c r="E43" s="221" t="s">
        <v>654</v>
      </c>
      <c r="F43" s="222" t="e">
        <f t="shared" si="23"/>
        <v>#REF!</v>
      </c>
      <c r="H43" s="269" t="s">
        <v>654</v>
      </c>
      <c r="I43" s="199" t="e">
        <f>BIENESTAR!R11</f>
        <v>#REF!</v>
      </c>
      <c r="J43" s="199" t="e">
        <f>BIENESTAR!S11</f>
        <v>#REF!</v>
      </c>
      <c r="K43" s="199" t="e">
        <f t="shared" si="22"/>
        <v>#REF!</v>
      </c>
      <c r="L43" s="241" t="s">
        <v>654</v>
      </c>
      <c r="M43" s="245" t="e">
        <f t="shared" si="24"/>
        <v>#REF!</v>
      </c>
      <c r="N43" s="245" t="e">
        <f>BIENESTAR!B31</f>
        <v>#DIV/0!</v>
      </c>
      <c r="O43" s="257" t="e">
        <f t="shared" si="25"/>
        <v>#REF!</v>
      </c>
    </row>
    <row r="44" spans="1:15" x14ac:dyDescent="0.25">
      <c r="A44" s="191" t="s">
        <v>655</v>
      </c>
      <c r="B44" s="6">
        <f>SUM(Asignación!K108:K110)</f>
        <v>1545437569</v>
      </c>
      <c r="C44" s="199" t="e">
        <f>SUM(#REF!)</f>
        <v>#REF!</v>
      </c>
      <c r="D44" s="199" t="e">
        <f t="shared" si="21"/>
        <v>#REF!</v>
      </c>
      <c r="E44" s="221" t="s">
        <v>655</v>
      </c>
      <c r="F44" s="222" t="e">
        <f t="shared" si="23"/>
        <v>#REF!</v>
      </c>
      <c r="H44" s="269" t="s">
        <v>655</v>
      </c>
      <c r="I44" s="199" t="e">
        <f>BIENESTAR!R12</f>
        <v>#REF!</v>
      </c>
      <c r="J44" s="199" t="e">
        <f>BIENESTAR!S12</f>
        <v>#REF!</v>
      </c>
      <c r="K44" s="199" t="e">
        <f t="shared" si="22"/>
        <v>#REF!</v>
      </c>
      <c r="L44" s="241" t="s">
        <v>655</v>
      </c>
      <c r="M44" s="245" t="e">
        <f t="shared" si="24"/>
        <v>#REF!</v>
      </c>
      <c r="N44" s="245">
        <f>BIENESTAR!B32</f>
        <v>1</v>
      </c>
      <c r="O44" s="257" t="e">
        <f t="shared" si="25"/>
        <v>#REF!</v>
      </c>
    </row>
    <row r="45" spans="1:15" x14ac:dyDescent="0.25">
      <c r="A45" s="191" t="s">
        <v>656</v>
      </c>
      <c r="B45" s="199">
        <f>SUM(Asignación!K111)</f>
        <v>50000000</v>
      </c>
      <c r="C45" s="199" t="e">
        <f>SUM(#REF!)</f>
        <v>#REF!</v>
      </c>
      <c r="D45" s="199" t="e">
        <f t="shared" si="21"/>
        <v>#REF!</v>
      </c>
      <c r="E45" s="221" t="s">
        <v>656</v>
      </c>
      <c r="F45" s="222" t="e">
        <f t="shared" si="23"/>
        <v>#REF!</v>
      </c>
      <c r="H45" s="269" t="s">
        <v>656</v>
      </c>
      <c r="I45" s="199" t="e">
        <f>BIENESTAR!R13</f>
        <v>#REF!</v>
      </c>
      <c r="J45" s="199" t="e">
        <f>BIENESTAR!S13</f>
        <v>#REF!</v>
      </c>
      <c r="K45" s="199" t="e">
        <f t="shared" si="22"/>
        <v>#REF!</v>
      </c>
      <c r="L45" s="241" t="s">
        <v>656</v>
      </c>
      <c r="M45" s="245" t="e">
        <f t="shared" si="24"/>
        <v>#REF!</v>
      </c>
      <c r="N45" s="245">
        <f>BIENESTAR!B33</f>
        <v>0.15509999999999999</v>
      </c>
      <c r="O45" s="257" t="e">
        <f t="shared" si="25"/>
        <v>#REF!</v>
      </c>
    </row>
    <row r="46" spans="1:15" ht="15.75" thickBot="1" x14ac:dyDescent="0.3">
      <c r="A46" s="194" t="s">
        <v>617</v>
      </c>
      <c r="B46" s="204">
        <f>SUM(B40:B45)</f>
        <v>2912307794</v>
      </c>
      <c r="C46" s="204" t="e">
        <f t="shared" ref="C46:D46" si="26">SUM(C40:C45)</f>
        <v>#REF!</v>
      </c>
      <c r="D46" s="204" t="e">
        <f t="shared" si="26"/>
        <v>#REF!</v>
      </c>
      <c r="F46" s="222" t="e">
        <f>AVERAGE(F40:F45)</f>
        <v>#REF!</v>
      </c>
      <c r="H46" s="264" t="s">
        <v>617</v>
      </c>
      <c r="I46" s="265" t="e">
        <f>SUM(I40:I45)</f>
        <v>#REF!</v>
      </c>
      <c r="J46" s="265" t="e">
        <f t="shared" ref="J46:K46" si="27">SUM(J40:J45)</f>
        <v>#REF!</v>
      </c>
      <c r="K46" s="265" t="e">
        <f t="shared" si="27"/>
        <v>#REF!</v>
      </c>
      <c r="L46" s="266"/>
      <c r="M46" s="267" t="e">
        <f>AVERAGE(M40:M45)</f>
        <v>#REF!</v>
      </c>
      <c r="N46" s="267" t="e">
        <f>AVERAGE(N40:N45)</f>
        <v>#DIV/0!</v>
      </c>
      <c r="O46" s="268" t="e">
        <f>AVERAGE(O40:O45)</f>
        <v>#REF!</v>
      </c>
    </row>
    <row r="48" spans="1:15" x14ac:dyDescent="0.25">
      <c r="A48" s="540" t="s">
        <v>657</v>
      </c>
      <c r="B48" s="540"/>
      <c r="C48" s="540"/>
      <c r="D48" s="540"/>
      <c r="H48" s="540" t="s">
        <v>657</v>
      </c>
      <c r="I48" s="540"/>
      <c r="J48" s="540"/>
      <c r="K48" s="540"/>
    </row>
    <row r="49" spans="1:15" x14ac:dyDescent="0.25">
      <c r="A49" s="194" t="s">
        <v>613</v>
      </c>
      <c r="B49" s="194" t="s">
        <v>614</v>
      </c>
      <c r="C49" s="194" t="s">
        <v>615</v>
      </c>
      <c r="D49" s="194" t="s">
        <v>616</v>
      </c>
      <c r="E49" s="223" t="s">
        <v>613</v>
      </c>
      <c r="F49" s="236" t="s">
        <v>5</v>
      </c>
      <c r="H49" s="206" t="s">
        <v>613</v>
      </c>
      <c r="I49" s="206" t="s">
        <v>614</v>
      </c>
      <c r="J49" s="206" t="s">
        <v>615</v>
      </c>
      <c r="K49" s="206" t="s">
        <v>616</v>
      </c>
      <c r="L49" s="223" t="s">
        <v>613</v>
      </c>
      <c r="M49" s="236" t="s">
        <v>5</v>
      </c>
      <c r="N49" s="236" t="s">
        <v>6</v>
      </c>
      <c r="O49" s="236" t="s">
        <v>7</v>
      </c>
    </row>
    <row r="50" spans="1:15" x14ac:dyDescent="0.25">
      <c r="A50" s="230"/>
      <c r="B50" s="230"/>
      <c r="C50" s="230"/>
      <c r="D50" s="230"/>
      <c r="E50" s="230"/>
      <c r="F50" s="222"/>
      <c r="G50" s="229"/>
      <c r="H50" s="232" t="s">
        <v>658</v>
      </c>
      <c r="I50" s="199" t="e">
        <f>ADMINISTRATIVO!AE8</f>
        <v>#REF!</v>
      </c>
      <c r="J50" s="199" t="e">
        <f>ADMINISTRATIVO!AF8</f>
        <v>#REF!</v>
      </c>
      <c r="K50" s="199" t="e">
        <f t="shared" ref="K50:K55" si="28">I50-J50</f>
        <v>#REF!</v>
      </c>
      <c r="L50" s="230" t="str">
        <f>H50</f>
        <v>SA-PY2a</v>
      </c>
      <c r="M50" s="222" t="e">
        <f>J50/I50</f>
        <v>#REF!</v>
      </c>
      <c r="N50" s="233" t="e">
        <f>ADMINISTRATIVO!B32</f>
        <v>#REF!</v>
      </c>
      <c r="O50" s="233" t="e">
        <f>(M50+N50)/2</f>
        <v>#REF!</v>
      </c>
    </row>
    <row r="51" spans="1:15" x14ac:dyDescent="0.25">
      <c r="A51" s="191" t="s">
        <v>658</v>
      </c>
      <c r="B51" s="199">
        <f>SUM(Asignación!K114:K116)</f>
        <v>2075119028</v>
      </c>
      <c r="C51" s="199" t="e">
        <f>SUM(#REF!)</f>
        <v>#REF!</v>
      </c>
      <c r="D51" s="199" t="e">
        <f t="shared" ref="D51:D56" si="29">B51-C51</f>
        <v>#REF!</v>
      </c>
      <c r="E51" s="221" t="s">
        <v>658</v>
      </c>
      <c r="F51" s="222" t="e">
        <f t="shared" ref="F51:F56" si="30">C51/B51</f>
        <v>#REF!</v>
      </c>
      <c r="H51" s="232" t="s">
        <v>659</v>
      </c>
      <c r="I51" s="199" t="e">
        <f>ADMINISTRATIVO!AE9</f>
        <v>#REF!</v>
      </c>
      <c r="J51" s="199" t="e">
        <f>ADMINISTRATIVO!AF9</f>
        <v>#REF!</v>
      </c>
      <c r="K51" s="199" t="e">
        <f t="shared" si="28"/>
        <v>#REF!</v>
      </c>
      <c r="L51" s="221" t="s">
        <v>658</v>
      </c>
      <c r="M51" s="222" t="e">
        <f t="shared" ref="M51:M55" si="31">J51/I51</f>
        <v>#REF!</v>
      </c>
      <c r="N51" s="233" t="e">
        <f>ADMINISTRATIVO!B33</f>
        <v>#DIV/0!</v>
      </c>
      <c r="O51" s="233" t="e">
        <f t="shared" ref="O51:O55" si="32">(M51+N51)/2</f>
        <v>#REF!</v>
      </c>
    </row>
    <row r="52" spans="1:15" x14ac:dyDescent="0.25">
      <c r="A52" s="191" t="s">
        <v>659</v>
      </c>
      <c r="B52" s="199">
        <f>SUM(Asignación!K117:K123)</f>
        <v>2889358754</v>
      </c>
      <c r="C52" s="199" t="e">
        <f>SUM(#REF!)</f>
        <v>#REF!</v>
      </c>
      <c r="D52" s="199" t="e">
        <f t="shared" si="29"/>
        <v>#REF!</v>
      </c>
      <c r="E52" s="221" t="s">
        <v>659</v>
      </c>
      <c r="F52" s="222" t="e">
        <f t="shared" si="30"/>
        <v>#REF!</v>
      </c>
      <c r="H52" s="232" t="s">
        <v>660</v>
      </c>
      <c r="I52" s="199" t="e">
        <f>ADMINISTRATIVO!AE10</f>
        <v>#REF!</v>
      </c>
      <c r="J52" s="199" t="e">
        <f>ADMINISTRATIVO!AF10</f>
        <v>#REF!</v>
      </c>
      <c r="K52" s="199" t="e">
        <f t="shared" si="28"/>
        <v>#REF!</v>
      </c>
      <c r="L52" s="221" t="s">
        <v>659</v>
      </c>
      <c r="M52" s="222" t="e">
        <f t="shared" si="31"/>
        <v>#REF!</v>
      </c>
      <c r="N52" s="233" t="e">
        <f>ADMINISTRATIVO!B34</f>
        <v>#DIV/0!</v>
      </c>
      <c r="O52" s="233" t="e">
        <f t="shared" si="32"/>
        <v>#REF!</v>
      </c>
    </row>
    <row r="53" spans="1:15" x14ac:dyDescent="0.25">
      <c r="A53" s="191" t="s">
        <v>660</v>
      </c>
      <c r="B53" s="199">
        <f>SUM(Asignación!K124)</f>
        <v>700456632</v>
      </c>
      <c r="C53" s="199" t="e">
        <f>SUM(#REF!)</f>
        <v>#REF!</v>
      </c>
      <c r="D53" s="199" t="e">
        <f t="shared" si="29"/>
        <v>#REF!</v>
      </c>
      <c r="E53" s="221" t="s">
        <v>660</v>
      </c>
      <c r="F53" s="222" t="e">
        <f t="shared" si="30"/>
        <v>#REF!</v>
      </c>
      <c r="H53" s="232" t="s">
        <v>661</v>
      </c>
      <c r="I53" s="199" t="e">
        <f>ADMINISTRATIVO!AE11</f>
        <v>#REF!</v>
      </c>
      <c r="J53" s="199" t="e">
        <f>ADMINISTRATIVO!AF11</f>
        <v>#REF!</v>
      </c>
      <c r="K53" s="199" t="e">
        <f t="shared" si="28"/>
        <v>#REF!</v>
      </c>
      <c r="L53" s="221" t="s">
        <v>660</v>
      </c>
      <c r="M53" s="222" t="e">
        <f t="shared" si="31"/>
        <v>#REF!</v>
      </c>
      <c r="N53" s="233" t="e">
        <f>ADMINISTRATIVO!B35</f>
        <v>#DIV/0!</v>
      </c>
      <c r="O53" s="233" t="e">
        <f t="shared" si="32"/>
        <v>#REF!</v>
      </c>
    </row>
    <row r="54" spans="1:15" x14ac:dyDescent="0.25">
      <c r="A54" s="191" t="s">
        <v>661</v>
      </c>
      <c r="B54" s="199">
        <f>SUM(Asignación!K125:K128)</f>
        <v>282954283</v>
      </c>
      <c r="C54" s="199" t="e">
        <f>SUM(#REF!)</f>
        <v>#REF!</v>
      </c>
      <c r="D54" s="199" t="e">
        <f t="shared" si="29"/>
        <v>#REF!</v>
      </c>
      <c r="E54" s="221" t="s">
        <v>661</v>
      </c>
      <c r="F54" s="222" t="e">
        <f t="shared" si="30"/>
        <v>#REF!</v>
      </c>
      <c r="H54" s="232" t="s">
        <v>662</v>
      </c>
      <c r="I54" s="199" t="e">
        <f>ADMINISTRATIVO!AE12</f>
        <v>#REF!</v>
      </c>
      <c r="J54" s="199" t="e">
        <f>ADMINISTRATIVO!AF12</f>
        <v>#REF!</v>
      </c>
      <c r="K54" s="199" t="e">
        <f t="shared" si="28"/>
        <v>#REF!</v>
      </c>
      <c r="L54" s="221" t="s">
        <v>661</v>
      </c>
      <c r="M54" s="222" t="e">
        <f t="shared" si="31"/>
        <v>#REF!</v>
      </c>
      <c r="N54" s="233" t="e">
        <f>ADMINISTRATIVO!B36</f>
        <v>#DIV/0!</v>
      </c>
      <c r="O54" s="233" t="e">
        <f t="shared" si="32"/>
        <v>#REF!</v>
      </c>
    </row>
    <row r="55" spans="1:15" x14ac:dyDescent="0.25">
      <c r="A55" s="191" t="s">
        <v>662</v>
      </c>
      <c r="B55" s="199">
        <f>SUM(Asignación!K129)</f>
        <v>50000000</v>
      </c>
      <c r="C55" s="199" t="e">
        <f>#REF!</f>
        <v>#REF!</v>
      </c>
      <c r="D55" s="199" t="e">
        <f t="shared" si="29"/>
        <v>#REF!</v>
      </c>
      <c r="E55" s="221" t="s">
        <v>662</v>
      </c>
      <c r="F55" s="222" t="e">
        <f t="shared" si="30"/>
        <v>#REF!</v>
      </c>
      <c r="H55" s="232" t="s">
        <v>663</v>
      </c>
      <c r="I55" s="199" t="e">
        <f>ADMINISTRATIVO!AE13</f>
        <v>#REF!</v>
      </c>
      <c r="J55" s="199" t="e">
        <f>ADMINISTRATIVO!AF13</f>
        <v>#REF!</v>
      </c>
      <c r="K55" s="199" t="e">
        <f t="shared" si="28"/>
        <v>#REF!</v>
      </c>
      <c r="L55" s="221" t="s">
        <v>662</v>
      </c>
      <c r="M55" s="222" t="e">
        <f t="shared" si="31"/>
        <v>#REF!</v>
      </c>
      <c r="N55" s="233" t="e">
        <f>ADMINISTRATIVO!B37</f>
        <v>#DIV/0!</v>
      </c>
      <c r="O55" s="233" t="e">
        <f t="shared" si="32"/>
        <v>#REF!</v>
      </c>
    </row>
    <row r="56" spans="1:15" x14ac:dyDescent="0.25">
      <c r="A56" s="191" t="s">
        <v>663</v>
      </c>
      <c r="B56" s="199">
        <f>SUM(Asignación!K130)</f>
        <v>217000000</v>
      </c>
      <c r="C56" s="199" t="e">
        <f>#REF!</f>
        <v>#REF!</v>
      </c>
      <c r="D56" s="199" t="e">
        <f t="shared" si="29"/>
        <v>#REF!</v>
      </c>
      <c r="E56" s="221" t="s">
        <v>663</v>
      </c>
      <c r="F56" s="222" t="e">
        <f t="shared" si="30"/>
        <v>#REF!</v>
      </c>
      <c r="H56" s="206" t="s">
        <v>592</v>
      </c>
      <c r="I56" s="204" t="e">
        <f>SUM(I50:I55)</f>
        <v>#REF!</v>
      </c>
      <c r="J56" s="204" t="e">
        <f>SUM(J50:J55)</f>
        <v>#REF!</v>
      </c>
      <c r="K56" s="204" t="e">
        <f>SUM(K50:K55)</f>
        <v>#REF!</v>
      </c>
      <c r="M56" s="222" t="e">
        <f>AVERAGE(M50:M55)</f>
        <v>#REF!</v>
      </c>
      <c r="N56" s="233" t="e">
        <f>AVERAGE(N50:N55)</f>
        <v>#REF!</v>
      </c>
      <c r="O56" s="233" t="e">
        <f>AVERAGE(O50:O55)</f>
        <v>#REF!</v>
      </c>
    </row>
    <row r="57" spans="1:15" x14ac:dyDescent="0.25">
      <c r="A57" s="194" t="s">
        <v>617</v>
      </c>
      <c r="B57" s="204">
        <f>SUM(B51:B56)</f>
        <v>6214888697</v>
      </c>
      <c r="C57" s="204" t="e">
        <f>SUM(C51:C56)</f>
        <v>#REF!</v>
      </c>
      <c r="D57" s="204" t="e">
        <f>SUM(D51:D56)</f>
        <v>#REF!</v>
      </c>
      <c r="F57" s="222" t="e">
        <f>AVERAGE(F51:F56)</f>
        <v>#REF!</v>
      </c>
    </row>
    <row r="58" spans="1:15" x14ac:dyDescent="0.25">
      <c r="I58" s="40"/>
    </row>
    <row r="59" spans="1:15" ht="15.75" thickBot="1" x14ac:dyDescent="0.3">
      <c r="A59" s="540" t="s">
        <v>657</v>
      </c>
      <c r="B59" s="540"/>
      <c r="C59" s="540"/>
      <c r="D59" s="540"/>
      <c r="H59" s="541" t="s">
        <v>697</v>
      </c>
      <c r="I59" s="541"/>
      <c r="J59" s="541"/>
      <c r="K59" s="541"/>
    </row>
    <row r="60" spans="1:15" x14ac:dyDescent="0.25">
      <c r="A60" s="218" t="s">
        <v>670</v>
      </c>
      <c r="B60" s="218" t="s">
        <v>614</v>
      </c>
      <c r="C60" s="218" t="s">
        <v>615</v>
      </c>
      <c r="D60" s="218" t="s">
        <v>616</v>
      </c>
      <c r="E60" s="223" t="s">
        <v>613</v>
      </c>
      <c r="F60" s="236" t="s">
        <v>5</v>
      </c>
      <c r="H60" s="253" t="s">
        <v>613</v>
      </c>
      <c r="I60" s="254" t="s">
        <v>614</v>
      </c>
      <c r="J60" s="254" t="s">
        <v>615</v>
      </c>
      <c r="K60" s="254" t="s">
        <v>616</v>
      </c>
      <c r="L60" s="254" t="s">
        <v>613</v>
      </c>
      <c r="M60" s="254" t="s">
        <v>5</v>
      </c>
      <c r="N60" s="254" t="s">
        <v>6</v>
      </c>
      <c r="O60" s="255" t="s">
        <v>7</v>
      </c>
    </row>
    <row r="61" spans="1:15" x14ac:dyDescent="0.25">
      <c r="A61" s="6" t="s">
        <v>671</v>
      </c>
      <c r="B61" s="199">
        <f>B10</f>
        <v>1730258531</v>
      </c>
      <c r="C61" s="199" t="e">
        <f t="shared" ref="C61:D61" si="33">C10</f>
        <v>#REF!</v>
      </c>
      <c r="D61" s="199" t="e">
        <f t="shared" si="33"/>
        <v>#REF!</v>
      </c>
      <c r="E61" s="6" t="s">
        <v>671</v>
      </c>
      <c r="F61" s="222" t="e">
        <f>C61/B61</f>
        <v>#REF!</v>
      </c>
      <c r="H61" s="256" t="s">
        <v>21</v>
      </c>
      <c r="I61" s="199" t="e">
        <f>I10</f>
        <v>#REF!</v>
      </c>
      <c r="J61" s="199" t="e">
        <f>J10</f>
        <v>#REF!</v>
      </c>
      <c r="K61" s="199" t="e">
        <f t="shared" ref="K61" si="34">K10</f>
        <v>#REF!</v>
      </c>
      <c r="L61" s="6" t="s">
        <v>671</v>
      </c>
      <c r="M61" s="245" t="e">
        <f>M10</f>
        <v>#REF!</v>
      </c>
      <c r="N61" s="245" t="e">
        <f>N10</f>
        <v>#DIV/0!</v>
      </c>
      <c r="O61" s="257" t="e">
        <f>O10</f>
        <v>#REF!</v>
      </c>
    </row>
    <row r="62" spans="1:15" x14ac:dyDescent="0.25">
      <c r="A62" s="6" t="s">
        <v>672</v>
      </c>
      <c r="B62" s="199">
        <f>B23</f>
        <v>6782038629</v>
      </c>
      <c r="C62" s="199" t="e">
        <f t="shared" ref="C62:D62" si="35">C23</f>
        <v>#REF!</v>
      </c>
      <c r="D62" s="199" t="e">
        <f t="shared" si="35"/>
        <v>#REF!</v>
      </c>
      <c r="E62" s="6" t="s">
        <v>672</v>
      </c>
      <c r="F62" s="222" t="e">
        <f t="shared" ref="F62:F65" si="36">C62/B62</f>
        <v>#REF!</v>
      </c>
      <c r="H62" s="256" t="s">
        <v>85</v>
      </c>
      <c r="I62" s="199" t="e">
        <f>I23</f>
        <v>#REF!</v>
      </c>
      <c r="J62" s="199" t="e">
        <f>J23</f>
        <v>#REF!</v>
      </c>
      <c r="K62" s="199" t="e">
        <f t="shared" ref="K62" si="37">K23</f>
        <v>#REF!</v>
      </c>
      <c r="L62" s="6" t="s">
        <v>672</v>
      </c>
      <c r="M62" s="245" t="e">
        <f>M23</f>
        <v>#REF!</v>
      </c>
      <c r="N62" s="245" t="e">
        <f>N23</f>
        <v>#DIV/0!</v>
      </c>
      <c r="O62" s="257" t="e">
        <f>O23</f>
        <v>#REF!</v>
      </c>
    </row>
    <row r="63" spans="1:15" x14ac:dyDescent="0.25">
      <c r="A63" s="6" t="s">
        <v>673</v>
      </c>
      <c r="B63" s="199">
        <f>B35</f>
        <v>2077873680</v>
      </c>
      <c r="C63" s="199" t="e">
        <f t="shared" ref="C63:D63" si="38">C35</f>
        <v>#REF!</v>
      </c>
      <c r="D63" s="199" t="e">
        <f t="shared" si="38"/>
        <v>#REF!</v>
      </c>
      <c r="E63" s="6" t="s">
        <v>673</v>
      </c>
      <c r="F63" s="222" t="e">
        <f t="shared" si="36"/>
        <v>#REF!</v>
      </c>
      <c r="H63" s="256" t="s">
        <v>187</v>
      </c>
      <c r="I63" s="199" t="e">
        <f>I35</f>
        <v>#REF!</v>
      </c>
      <c r="J63" s="199" t="e">
        <f>J35</f>
        <v>#REF!</v>
      </c>
      <c r="K63" s="199" t="e">
        <f>K35</f>
        <v>#REF!</v>
      </c>
      <c r="L63" s="6" t="s">
        <v>673</v>
      </c>
      <c r="M63" s="245" t="e">
        <f>M35</f>
        <v>#REF!</v>
      </c>
      <c r="N63" s="245" t="e">
        <f>N35</f>
        <v>#DIV/0!</v>
      </c>
      <c r="O63" s="257" t="e">
        <f>O35</f>
        <v>#REF!</v>
      </c>
    </row>
    <row r="64" spans="1:15" x14ac:dyDescent="0.25">
      <c r="A64" s="6" t="s">
        <v>674</v>
      </c>
      <c r="B64" s="199">
        <f>B46</f>
        <v>2912307794</v>
      </c>
      <c r="C64" s="199" t="e">
        <f t="shared" ref="C64:D64" si="39">C46</f>
        <v>#REF!</v>
      </c>
      <c r="D64" s="199" t="e">
        <f t="shared" si="39"/>
        <v>#REF!</v>
      </c>
      <c r="E64" s="6" t="s">
        <v>674</v>
      </c>
      <c r="F64" s="222" t="e">
        <f t="shared" si="36"/>
        <v>#REF!</v>
      </c>
      <c r="H64" s="256" t="s">
        <v>251</v>
      </c>
      <c r="I64" s="199" t="e">
        <f>I46</f>
        <v>#REF!</v>
      </c>
      <c r="J64" s="199" t="e">
        <f>J46</f>
        <v>#REF!</v>
      </c>
      <c r="K64" s="199" t="e">
        <f t="shared" ref="K64" si="40">K46</f>
        <v>#REF!</v>
      </c>
      <c r="L64" s="6" t="s">
        <v>674</v>
      </c>
      <c r="M64" s="245" t="e">
        <f>M46</f>
        <v>#REF!</v>
      </c>
      <c r="N64" s="245" t="e">
        <f>N46</f>
        <v>#DIV/0!</v>
      </c>
      <c r="O64" s="257" t="e">
        <f>O46</f>
        <v>#REF!</v>
      </c>
    </row>
    <row r="65" spans="1:15" x14ac:dyDescent="0.25">
      <c r="A65" s="6" t="s">
        <v>675</v>
      </c>
      <c r="B65" s="199">
        <f>B57</f>
        <v>6214888697</v>
      </c>
      <c r="C65" s="199" t="e">
        <f t="shared" ref="C65:D65" si="41">C57</f>
        <v>#REF!</v>
      </c>
      <c r="D65" s="199" t="e">
        <f t="shared" si="41"/>
        <v>#REF!</v>
      </c>
      <c r="E65" s="6" t="s">
        <v>675</v>
      </c>
      <c r="F65" s="222" t="e">
        <f t="shared" si="36"/>
        <v>#REF!</v>
      </c>
      <c r="H65" s="256" t="s">
        <v>299</v>
      </c>
      <c r="I65" s="199" t="e">
        <f>I56</f>
        <v>#REF!</v>
      </c>
      <c r="J65" s="199" t="e">
        <f>J56</f>
        <v>#REF!</v>
      </c>
      <c r="K65" s="199" t="e">
        <f>K56</f>
        <v>#REF!</v>
      </c>
      <c r="L65" s="6" t="s">
        <v>675</v>
      </c>
      <c r="M65" s="245" t="e">
        <f>M56</f>
        <v>#REF!</v>
      </c>
      <c r="N65" s="245" t="e">
        <f>N56</f>
        <v>#REF!</v>
      </c>
      <c r="O65" s="257" t="e">
        <f>O56</f>
        <v>#REF!</v>
      </c>
    </row>
    <row r="66" spans="1:15" ht="15.75" thickBot="1" x14ac:dyDescent="0.3">
      <c r="A66" s="207" t="s">
        <v>617</v>
      </c>
      <c r="B66" s="208">
        <f>SUM(B61:B65)</f>
        <v>19717367331</v>
      </c>
      <c r="C66" s="208" t="e">
        <f t="shared" ref="C66:D66" si="42">SUM(C61:C65)</f>
        <v>#REF!</v>
      </c>
      <c r="D66" s="208" t="e">
        <f t="shared" si="42"/>
        <v>#REF!</v>
      </c>
      <c r="F66" s="222" t="e">
        <f>AVERAGE(F61:F65)</f>
        <v>#REF!</v>
      </c>
      <c r="H66" s="258" t="s">
        <v>592</v>
      </c>
      <c r="I66" s="259" t="e">
        <f>SUM(I61:I65)</f>
        <v>#REF!</v>
      </c>
      <c r="J66" s="259" t="e">
        <f t="shared" ref="J66" si="43">SUM(J61:J65)</f>
        <v>#REF!</v>
      </c>
      <c r="K66" s="259" t="e">
        <f t="shared" ref="K66" si="44">SUM(K61:K65)</f>
        <v>#REF!</v>
      </c>
      <c r="L66" s="260" t="s">
        <v>694</v>
      </c>
      <c r="M66" s="261" t="e">
        <f>AVERAGE(M61:M65)</f>
        <v>#REF!</v>
      </c>
      <c r="N66" s="261" t="e">
        <f t="shared" ref="N66:O66" si="45">AVERAGE(N61:N65)</f>
        <v>#DIV/0!</v>
      </c>
      <c r="O66" s="262" t="e">
        <f t="shared" si="45"/>
        <v>#REF!</v>
      </c>
    </row>
    <row r="67" spans="1:15" x14ac:dyDescent="0.25">
      <c r="B67" s="40" t="e">
        <f>B66-#REF!</f>
        <v>#REF!</v>
      </c>
      <c r="C67" s="40" t="e">
        <f>C66-#REF!</f>
        <v>#REF!</v>
      </c>
      <c r="D67" s="40" t="e">
        <f>D66-#REF!</f>
        <v>#REF!</v>
      </c>
      <c r="E67" s="40"/>
      <c r="F67" s="237"/>
    </row>
  </sheetData>
  <mergeCells count="12">
    <mergeCell ref="A59:D59"/>
    <mergeCell ref="H59:K59"/>
    <mergeCell ref="A48:D48"/>
    <mergeCell ref="A1:D1"/>
    <mergeCell ref="H1:K1"/>
    <mergeCell ref="A12:D12"/>
    <mergeCell ref="A25:D25"/>
    <mergeCell ref="A38:D38"/>
    <mergeCell ref="H12:K12"/>
    <mergeCell ref="H25:K25"/>
    <mergeCell ref="H38:K38"/>
    <mergeCell ref="H48:K48"/>
  </mergeCells>
  <conditionalFormatting sqref="M61:O61 O62:O63 N27:N34">
    <cfRule type="cellIs" dxfId="511" priority="157" operator="greaterThan">
      <formula>50%</formula>
    </cfRule>
    <cfRule type="cellIs" dxfId="510" priority="158" operator="between">
      <formula>37.1%</formula>
      <formula>50%</formula>
    </cfRule>
    <cfRule type="cellIs" dxfId="509" priority="159" operator="between">
      <formula>16%</formula>
      <formula>37%</formula>
    </cfRule>
    <cfRule type="cellIs" dxfId="508" priority="160" operator="lessThan">
      <formula>16%</formula>
    </cfRule>
  </conditionalFormatting>
  <conditionalFormatting sqref="N64:O64 M62:N64">
    <cfRule type="cellIs" dxfId="507" priority="153" operator="greaterThan">
      <formula>50%</formula>
    </cfRule>
    <cfRule type="cellIs" dxfId="506" priority="154" operator="between">
      <formula>37.1%</formula>
      <formula>50%</formula>
    </cfRule>
    <cfRule type="cellIs" dxfId="505" priority="155" operator="between">
      <formula>16%</formula>
      <formula>37%</formula>
    </cfRule>
    <cfRule type="cellIs" dxfId="504" priority="156" operator="lessThan">
      <formula>16%</formula>
    </cfRule>
  </conditionalFormatting>
  <conditionalFormatting sqref="M65:O65">
    <cfRule type="cellIs" dxfId="503" priority="149" operator="greaterThan">
      <formula>50%</formula>
    </cfRule>
    <cfRule type="cellIs" dxfId="502" priority="150" operator="between">
      <formula>37.1%</formula>
      <formula>50%</formula>
    </cfRule>
    <cfRule type="cellIs" dxfId="501" priority="151" operator="between">
      <formula>16%</formula>
      <formula>37%</formula>
    </cfRule>
    <cfRule type="cellIs" dxfId="500" priority="152" operator="lessThan">
      <formula>16%</formula>
    </cfRule>
  </conditionalFormatting>
  <conditionalFormatting sqref="M50:M55 M56:O56">
    <cfRule type="cellIs" dxfId="499" priority="145" operator="greaterThan">
      <formula>50%</formula>
    </cfRule>
    <cfRule type="cellIs" dxfId="498" priority="146" operator="between">
      <formula>37.1%</formula>
      <formula>50%</formula>
    </cfRule>
    <cfRule type="cellIs" dxfId="497" priority="147" operator="between">
      <formula>16%</formula>
      <formula>37%</formula>
    </cfRule>
    <cfRule type="cellIs" dxfId="496" priority="148" operator="lessThan">
      <formula>16%</formula>
    </cfRule>
  </conditionalFormatting>
  <conditionalFormatting sqref="M40:M45">
    <cfRule type="cellIs" dxfId="495" priority="141" operator="greaterThan">
      <formula>50%</formula>
    </cfRule>
    <cfRule type="cellIs" dxfId="494" priority="142" operator="between">
      <formula>37.1%</formula>
      <formula>50%</formula>
    </cfRule>
    <cfRule type="cellIs" dxfId="493" priority="143" operator="between">
      <formula>16%</formula>
      <formula>37%</formula>
    </cfRule>
    <cfRule type="cellIs" dxfId="492" priority="144" operator="lessThan">
      <formula>16%</formula>
    </cfRule>
  </conditionalFormatting>
  <conditionalFormatting sqref="M27:M34">
    <cfRule type="cellIs" dxfId="491" priority="137" operator="greaterThan">
      <formula>50%</formula>
    </cfRule>
    <cfRule type="cellIs" dxfId="490" priority="138" operator="between">
      <formula>37.1%</formula>
      <formula>50%</formula>
    </cfRule>
    <cfRule type="cellIs" dxfId="489" priority="139" operator="between">
      <formula>16%</formula>
      <formula>37%</formula>
    </cfRule>
    <cfRule type="cellIs" dxfId="488" priority="140" operator="lessThan">
      <formula>16%</formula>
    </cfRule>
  </conditionalFormatting>
  <conditionalFormatting sqref="M14:M22">
    <cfRule type="cellIs" dxfId="487" priority="133" operator="greaterThan">
      <formula>50%</formula>
    </cfRule>
    <cfRule type="cellIs" dxfId="486" priority="134" operator="between">
      <formula>37.1%</formula>
      <formula>50%</formula>
    </cfRule>
    <cfRule type="cellIs" dxfId="485" priority="135" operator="between">
      <formula>16%</formula>
      <formula>37%</formula>
    </cfRule>
    <cfRule type="cellIs" dxfId="484" priority="136" operator="lessThan">
      <formula>16%</formula>
    </cfRule>
  </conditionalFormatting>
  <conditionalFormatting sqref="M3:M9">
    <cfRule type="cellIs" dxfId="483" priority="129" operator="greaterThan">
      <formula>50%</formula>
    </cfRule>
    <cfRule type="cellIs" dxfId="482" priority="130" operator="between">
      <formula>37.1%</formula>
      <formula>50%</formula>
    </cfRule>
    <cfRule type="cellIs" dxfId="481" priority="131" operator="between">
      <formula>16%</formula>
      <formula>37%</formula>
    </cfRule>
    <cfRule type="cellIs" dxfId="480" priority="132" operator="lessThan">
      <formula>16%</formula>
    </cfRule>
  </conditionalFormatting>
  <conditionalFormatting sqref="M10:O10">
    <cfRule type="cellIs" dxfId="479" priority="125" operator="greaterThan">
      <formula>50%</formula>
    </cfRule>
    <cfRule type="cellIs" dxfId="478" priority="126" operator="between">
      <formula>37.1%</formula>
      <formula>50%</formula>
    </cfRule>
    <cfRule type="cellIs" dxfId="477" priority="127" operator="between">
      <formula>16%</formula>
      <formula>37%</formula>
    </cfRule>
    <cfRule type="cellIs" dxfId="476" priority="128" operator="lessThan">
      <formula>16%</formula>
    </cfRule>
  </conditionalFormatting>
  <conditionalFormatting sqref="M23:O23">
    <cfRule type="cellIs" dxfId="475" priority="121" operator="greaterThan">
      <formula>50%</formula>
    </cfRule>
    <cfRule type="cellIs" dxfId="474" priority="122" operator="between">
      <formula>37.1%</formula>
      <formula>50%</formula>
    </cfRule>
    <cfRule type="cellIs" dxfId="473" priority="123" operator="between">
      <formula>16%</formula>
      <formula>37%</formula>
    </cfRule>
    <cfRule type="cellIs" dxfId="472" priority="124" operator="lessThan">
      <formula>16%</formula>
    </cfRule>
  </conditionalFormatting>
  <conditionalFormatting sqref="F62:F64">
    <cfRule type="cellIs" dxfId="471" priority="101" operator="greaterThan">
      <formula>50%</formula>
    </cfRule>
    <cfRule type="cellIs" dxfId="470" priority="102" operator="between">
      <formula>37.1%</formula>
      <formula>50%</formula>
    </cfRule>
    <cfRule type="cellIs" dxfId="469" priority="103" operator="between">
      <formula>16%</formula>
      <formula>37%</formula>
    </cfRule>
    <cfRule type="cellIs" dxfId="468" priority="104" operator="lessThan">
      <formula>16%</formula>
    </cfRule>
  </conditionalFormatting>
  <conditionalFormatting sqref="M46:O46">
    <cfRule type="cellIs" dxfId="467" priority="113" operator="greaterThan">
      <formula>50%</formula>
    </cfRule>
    <cfRule type="cellIs" dxfId="466" priority="114" operator="between">
      <formula>37.1%</formula>
      <formula>50%</formula>
    </cfRule>
    <cfRule type="cellIs" dxfId="465" priority="115" operator="between">
      <formula>16%</formula>
      <formula>37%</formula>
    </cfRule>
    <cfRule type="cellIs" dxfId="464" priority="116" operator="lessThan">
      <formula>16%</formula>
    </cfRule>
  </conditionalFormatting>
  <conditionalFormatting sqref="F61">
    <cfRule type="cellIs" dxfId="463" priority="105" operator="greaterThan">
      <formula>50%</formula>
    </cfRule>
    <cfRule type="cellIs" dxfId="462" priority="106" operator="between">
      <formula>37.1%</formula>
      <formula>50%</formula>
    </cfRule>
    <cfRule type="cellIs" dxfId="461" priority="107" operator="between">
      <formula>16%</formula>
      <formula>37%</formula>
    </cfRule>
    <cfRule type="cellIs" dxfId="460" priority="108" operator="lessThan">
      <formula>16%</formula>
    </cfRule>
  </conditionalFormatting>
  <conditionalFormatting sqref="F65">
    <cfRule type="cellIs" dxfId="459" priority="97" operator="greaterThan">
      <formula>50%</formula>
    </cfRule>
    <cfRule type="cellIs" dxfId="458" priority="98" operator="between">
      <formula>37.1%</formula>
      <formula>50%</formula>
    </cfRule>
    <cfRule type="cellIs" dxfId="457" priority="99" operator="between">
      <formula>16%</formula>
      <formula>37%</formula>
    </cfRule>
    <cfRule type="cellIs" dxfId="456" priority="100" operator="lessThan">
      <formula>16%</formula>
    </cfRule>
  </conditionalFormatting>
  <conditionalFormatting sqref="F50:F57">
    <cfRule type="cellIs" dxfId="455" priority="93" operator="greaterThan">
      <formula>50%</formula>
    </cfRule>
    <cfRule type="cellIs" dxfId="454" priority="94" operator="between">
      <formula>37.1%</formula>
      <formula>50%</formula>
    </cfRule>
    <cfRule type="cellIs" dxfId="453" priority="95" operator="between">
      <formula>16%</formula>
      <formula>37%</formula>
    </cfRule>
    <cfRule type="cellIs" dxfId="452" priority="96" operator="lessThan">
      <formula>16%</formula>
    </cfRule>
  </conditionalFormatting>
  <conditionalFormatting sqref="F40:F45">
    <cfRule type="cellIs" dxfId="451" priority="89" operator="greaterThan">
      <formula>50%</formula>
    </cfRule>
    <cfRule type="cellIs" dxfId="450" priority="90" operator="between">
      <formula>37.1%</formula>
      <formula>50%</formula>
    </cfRule>
    <cfRule type="cellIs" dxfId="449" priority="91" operator="between">
      <formula>16%</formula>
      <formula>37%</formula>
    </cfRule>
    <cfRule type="cellIs" dxfId="448" priority="92" operator="lessThan">
      <formula>16%</formula>
    </cfRule>
  </conditionalFormatting>
  <conditionalFormatting sqref="F27:F34">
    <cfRule type="cellIs" dxfId="447" priority="85" operator="greaterThan">
      <formula>50%</formula>
    </cfRule>
    <cfRule type="cellIs" dxfId="446" priority="86" operator="between">
      <formula>37.1%</formula>
      <formula>50%</formula>
    </cfRule>
    <cfRule type="cellIs" dxfId="445" priority="87" operator="between">
      <formula>16%</formula>
      <formula>37%</formula>
    </cfRule>
    <cfRule type="cellIs" dxfId="444" priority="88" operator="lessThan">
      <formula>16%</formula>
    </cfRule>
  </conditionalFormatting>
  <conditionalFormatting sqref="F14:F22">
    <cfRule type="cellIs" dxfId="443" priority="81" operator="greaterThan">
      <formula>50%</formula>
    </cfRule>
    <cfRule type="cellIs" dxfId="442" priority="82" operator="between">
      <formula>37.1%</formula>
      <formula>50%</formula>
    </cfRule>
    <cfRule type="cellIs" dxfId="441" priority="83" operator="between">
      <formula>16%</formula>
      <formula>37%</formula>
    </cfRule>
    <cfRule type="cellIs" dxfId="440" priority="84" operator="lessThan">
      <formula>16%</formula>
    </cfRule>
  </conditionalFormatting>
  <conditionalFormatting sqref="F3:F9">
    <cfRule type="cellIs" dxfId="439" priority="77" operator="greaterThan">
      <formula>50%</formula>
    </cfRule>
    <cfRule type="cellIs" dxfId="438" priority="78" operator="between">
      <formula>37.1%</formula>
      <formula>50%</formula>
    </cfRule>
    <cfRule type="cellIs" dxfId="437" priority="79" operator="between">
      <formula>16%</formula>
      <formula>37%</formula>
    </cfRule>
    <cfRule type="cellIs" dxfId="436" priority="80" operator="lessThan">
      <formula>16%</formula>
    </cfRule>
  </conditionalFormatting>
  <conditionalFormatting sqref="F10">
    <cfRule type="cellIs" dxfId="435" priority="73" operator="greaterThan">
      <formula>50%</formula>
    </cfRule>
    <cfRule type="cellIs" dxfId="434" priority="74" operator="between">
      <formula>37.1%</formula>
      <formula>50%</formula>
    </cfRule>
    <cfRule type="cellIs" dxfId="433" priority="75" operator="between">
      <formula>16%</formula>
      <formula>37%</formula>
    </cfRule>
    <cfRule type="cellIs" dxfId="432" priority="76" operator="lessThan">
      <formula>16%</formula>
    </cfRule>
  </conditionalFormatting>
  <conditionalFormatting sqref="F23">
    <cfRule type="cellIs" dxfId="431" priority="69" operator="greaterThan">
      <formula>50%</formula>
    </cfRule>
    <cfRule type="cellIs" dxfId="430" priority="70" operator="between">
      <formula>37.1%</formula>
      <formula>50%</formula>
    </cfRule>
    <cfRule type="cellIs" dxfId="429" priority="71" operator="between">
      <formula>16%</formula>
      <formula>37%</formula>
    </cfRule>
    <cfRule type="cellIs" dxfId="428" priority="72" operator="lessThan">
      <formula>16%</formula>
    </cfRule>
  </conditionalFormatting>
  <conditionalFormatting sqref="F35">
    <cfRule type="cellIs" dxfId="427" priority="65" operator="greaterThan">
      <formula>50%</formula>
    </cfRule>
    <cfRule type="cellIs" dxfId="426" priority="66" operator="between">
      <formula>37.1%</formula>
      <formula>50%</formula>
    </cfRule>
    <cfRule type="cellIs" dxfId="425" priority="67" operator="between">
      <formula>16%</formula>
      <formula>37%</formula>
    </cfRule>
    <cfRule type="cellIs" dxfId="424" priority="68" operator="lessThan">
      <formula>16%</formula>
    </cfRule>
  </conditionalFormatting>
  <conditionalFormatting sqref="F46">
    <cfRule type="cellIs" dxfId="423" priority="61" operator="greaterThan">
      <formula>50%</formula>
    </cfRule>
    <cfRule type="cellIs" dxfId="422" priority="62" operator="between">
      <formula>37.1%</formula>
      <formula>50%</formula>
    </cfRule>
    <cfRule type="cellIs" dxfId="421" priority="63" operator="between">
      <formula>16%</formula>
      <formula>37%</formula>
    </cfRule>
    <cfRule type="cellIs" dxfId="420" priority="64" operator="lessThan">
      <formula>16%</formula>
    </cfRule>
  </conditionalFormatting>
  <conditionalFormatting sqref="F66">
    <cfRule type="cellIs" dxfId="419" priority="57" operator="greaterThan">
      <formula>50%</formula>
    </cfRule>
    <cfRule type="cellIs" dxfId="418" priority="58" operator="between">
      <formula>37.1%</formula>
      <formula>50%</formula>
    </cfRule>
    <cfRule type="cellIs" dxfId="417" priority="59" operator="between">
      <formula>16%</formula>
      <formula>37%</formula>
    </cfRule>
    <cfRule type="cellIs" dxfId="416" priority="60" operator="lessThan">
      <formula>16%</formula>
    </cfRule>
  </conditionalFormatting>
  <conditionalFormatting sqref="N40">
    <cfRule type="cellIs" dxfId="415" priority="53" operator="greaterThan">
      <formula>50%</formula>
    </cfRule>
    <cfRule type="cellIs" dxfId="414" priority="54" operator="between">
      <formula>37.1%</formula>
      <formula>50%</formula>
    </cfRule>
    <cfRule type="cellIs" dxfId="413" priority="55" operator="between">
      <formula>16%</formula>
      <formula>37%</formula>
    </cfRule>
    <cfRule type="cellIs" dxfId="412" priority="56" operator="lessThan">
      <formula>16%</formula>
    </cfRule>
  </conditionalFormatting>
  <conditionalFormatting sqref="N41:N45">
    <cfRule type="cellIs" dxfId="411" priority="49" operator="greaterThan">
      <formula>50%</formula>
    </cfRule>
    <cfRule type="cellIs" dxfId="410" priority="50" operator="between">
      <formula>37.1%</formula>
      <formula>50%</formula>
    </cfRule>
    <cfRule type="cellIs" dxfId="409" priority="51" operator="between">
      <formula>16%</formula>
      <formula>37%</formula>
    </cfRule>
    <cfRule type="cellIs" dxfId="408" priority="52" operator="lessThan">
      <formula>16%</formula>
    </cfRule>
  </conditionalFormatting>
  <conditionalFormatting sqref="O40">
    <cfRule type="cellIs" dxfId="407" priority="45" operator="greaterThan">
      <formula>50%</formula>
    </cfRule>
    <cfRule type="cellIs" dxfId="406" priority="46" operator="between">
      <formula>37.1%</formula>
      <formula>50%</formula>
    </cfRule>
    <cfRule type="cellIs" dxfId="405" priority="47" operator="between">
      <formula>16%</formula>
      <formula>37%</formula>
    </cfRule>
    <cfRule type="cellIs" dxfId="404" priority="48" operator="lessThan">
      <formula>16%</formula>
    </cfRule>
  </conditionalFormatting>
  <conditionalFormatting sqref="O41:O45">
    <cfRule type="cellIs" dxfId="403" priority="41" operator="greaterThan">
      <formula>50%</formula>
    </cfRule>
    <cfRule type="cellIs" dxfId="402" priority="42" operator="between">
      <formula>37.1%</formula>
      <formula>50%</formula>
    </cfRule>
    <cfRule type="cellIs" dxfId="401" priority="43" operator="between">
      <formula>16%</formula>
      <formula>37%</formula>
    </cfRule>
    <cfRule type="cellIs" dxfId="400" priority="44" operator="lessThan">
      <formula>16%</formula>
    </cfRule>
  </conditionalFormatting>
  <conditionalFormatting sqref="N3:O9">
    <cfRule type="cellIs" dxfId="399" priority="37" operator="greaterThan">
      <formula>50%</formula>
    </cfRule>
    <cfRule type="cellIs" dxfId="398" priority="38" operator="between">
      <formula>37.1%</formula>
      <formula>50%</formula>
    </cfRule>
    <cfRule type="cellIs" dxfId="397" priority="39" operator="between">
      <formula>16%</formula>
      <formula>37%</formula>
    </cfRule>
    <cfRule type="cellIs" dxfId="396" priority="40" operator="lessThan">
      <formula>16%</formula>
    </cfRule>
  </conditionalFormatting>
  <conditionalFormatting sqref="N50:N55">
    <cfRule type="cellIs" dxfId="395" priority="33" operator="greaterThan">
      <formula>50%</formula>
    </cfRule>
    <cfRule type="cellIs" dxfId="394" priority="34" operator="between">
      <formula>37.1%</formula>
      <formula>50%</formula>
    </cfRule>
    <cfRule type="cellIs" dxfId="393" priority="35" operator="between">
      <formula>16%</formula>
      <formula>37%</formula>
    </cfRule>
    <cfRule type="cellIs" dxfId="392" priority="36" operator="lessThan">
      <formula>16%</formula>
    </cfRule>
  </conditionalFormatting>
  <conditionalFormatting sqref="O50:O55">
    <cfRule type="cellIs" dxfId="391" priority="29" operator="greaterThan">
      <formula>50%</formula>
    </cfRule>
    <cfRule type="cellIs" dxfId="390" priority="30" operator="between">
      <formula>37.1%</formula>
      <formula>50%</formula>
    </cfRule>
    <cfRule type="cellIs" dxfId="389" priority="31" operator="between">
      <formula>16%</formula>
      <formula>37%</formula>
    </cfRule>
    <cfRule type="cellIs" dxfId="388" priority="32" operator="lessThan">
      <formula>16%</formula>
    </cfRule>
  </conditionalFormatting>
  <conditionalFormatting sqref="N14:N22">
    <cfRule type="cellIs" dxfId="387" priority="25" operator="greaterThan">
      <formula>50%</formula>
    </cfRule>
    <cfRule type="cellIs" dxfId="386" priority="26" operator="between">
      <formula>37.1%</formula>
      <formula>50%</formula>
    </cfRule>
    <cfRule type="cellIs" dxfId="385" priority="27" operator="between">
      <formula>16%</formula>
      <formula>37%</formula>
    </cfRule>
    <cfRule type="cellIs" dxfId="384" priority="28" operator="lessThan">
      <formula>16%</formula>
    </cfRule>
  </conditionalFormatting>
  <conditionalFormatting sqref="M35:O35">
    <cfRule type="cellIs" dxfId="383" priority="13" operator="greaterThan">
      <formula>50%</formula>
    </cfRule>
    <cfRule type="cellIs" dxfId="382" priority="14" operator="between">
      <formula>37.1%</formula>
      <formula>50%</formula>
    </cfRule>
    <cfRule type="cellIs" dxfId="381" priority="15" operator="between">
      <formula>16%</formula>
      <formula>37%</formula>
    </cfRule>
    <cfRule type="cellIs" dxfId="380" priority="16" operator="lessThan">
      <formula>16%</formula>
    </cfRule>
  </conditionalFormatting>
  <conditionalFormatting sqref="O14:O22">
    <cfRule type="cellIs" dxfId="379" priority="5" operator="greaterThan">
      <formula>50%</formula>
    </cfRule>
    <cfRule type="cellIs" dxfId="378" priority="6" operator="between">
      <formula>37.1%</formula>
      <formula>50%</formula>
    </cfRule>
    <cfRule type="cellIs" dxfId="377" priority="7" operator="between">
      <formula>16%</formula>
      <formula>37%</formula>
    </cfRule>
    <cfRule type="cellIs" dxfId="376" priority="8" operator="lessThan">
      <formula>16%</formula>
    </cfRule>
  </conditionalFormatting>
  <conditionalFormatting sqref="O27:O34">
    <cfRule type="cellIs" dxfId="375" priority="1" operator="greaterThan">
      <formula>50%</formula>
    </cfRule>
    <cfRule type="cellIs" dxfId="374" priority="2" operator="between">
      <formula>37.1%</formula>
      <formula>50%</formula>
    </cfRule>
    <cfRule type="cellIs" dxfId="373" priority="3" operator="between">
      <formula>16%</formula>
      <formula>37%</formula>
    </cfRule>
    <cfRule type="cellIs" dxfId="372" priority="4" operator="lessThan">
      <formula>16%</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4"/>
  <sheetViews>
    <sheetView workbookViewId="0">
      <pane xSplit="1" ySplit="2" topLeftCell="B126" activePane="bottomRight" state="frozen"/>
      <selection pane="topRight" activeCell="B1" sqref="B1"/>
      <selection pane="bottomLeft" activeCell="A2" sqref="A2"/>
      <selection pane="bottomRight" activeCell="B111" sqref="B111"/>
    </sheetView>
  </sheetViews>
  <sheetFormatPr baseColWidth="10" defaultRowHeight="15" x14ac:dyDescent="0.25"/>
  <cols>
    <col min="2" max="2" width="76.140625" customWidth="1"/>
    <col min="3" max="3" width="10.140625" customWidth="1"/>
    <col min="4" max="4" width="14" customWidth="1"/>
    <col min="5" max="5" width="16.140625" customWidth="1"/>
    <col min="6" max="6" width="12.7109375" bestFit="1" customWidth="1"/>
    <col min="7" max="7" width="11.85546875" bestFit="1" customWidth="1"/>
    <col min="11" max="11" width="14" bestFit="1" customWidth="1"/>
    <col min="19" max="19" width="14.7109375" customWidth="1"/>
    <col min="21" max="21" width="17.7109375" customWidth="1"/>
    <col min="22" max="22" width="16" customWidth="1"/>
  </cols>
  <sheetData>
    <row r="1" spans="1:22" x14ac:dyDescent="0.25">
      <c r="C1" s="542" t="s">
        <v>676</v>
      </c>
      <c r="D1" s="542"/>
      <c r="E1" s="542"/>
      <c r="F1" s="542"/>
      <c r="G1" s="542"/>
      <c r="H1" s="542"/>
      <c r="I1" s="542"/>
      <c r="J1" s="542"/>
      <c r="K1" s="542"/>
    </row>
    <row r="2" spans="1:22" ht="45" x14ac:dyDescent="0.25">
      <c r="A2" s="55" t="s">
        <v>11</v>
      </c>
      <c r="B2" s="55" t="s">
        <v>12</v>
      </c>
      <c r="C2" s="55" t="s">
        <v>604</v>
      </c>
      <c r="D2" s="198" t="s">
        <v>603</v>
      </c>
      <c r="E2" s="198" t="s">
        <v>666</v>
      </c>
      <c r="F2" s="198" t="s">
        <v>678</v>
      </c>
      <c r="G2" s="55" t="s">
        <v>667</v>
      </c>
      <c r="H2" s="198" t="s">
        <v>668</v>
      </c>
      <c r="I2" s="55" t="s">
        <v>669</v>
      </c>
      <c r="J2" s="55"/>
      <c r="K2" s="198" t="s">
        <v>605</v>
      </c>
      <c r="L2" s="198" t="s">
        <v>677</v>
      </c>
      <c r="M2" s="198" t="s">
        <v>679</v>
      </c>
      <c r="N2" s="198" t="s">
        <v>680</v>
      </c>
      <c r="O2" s="198" t="s">
        <v>682</v>
      </c>
      <c r="P2" s="198" t="s">
        <v>683</v>
      </c>
      <c r="Q2" s="198" t="s">
        <v>684</v>
      </c>
      <c r="R2" s="198" t="s">
        <v>685</v>
      </c>
      <c r="S2" s="198" t="s">
        <v>686</v>
      </c>
      <c r="T2" s="198" t="s">
        <v>688</v>
      </c>
      <c r="U2" s="198" t="s">
        <v>689</v>
      </c>
      <c r="V2" s="198" t="s">
        <v>605</v>
      </c>
    </row>
    <row r="3" spans="1:22" ht="30" x14ac:dyDescent="0.25">
      <c r="A3" s="1" t="s">
        <v>23</v>
      </c>
      <c r="B3" s="2" t="s">
        <v>24</v>
      </c>
      <c r="C3" s="190">
        <v>510</v>
      </c>
      <c r="D3" s="4">
        <v>21000000</v>
      </c>
      <c r="E3" s="4">
        <v>23000000</v>
      </c>
      <c r="K3" s="40">
        <f t="shared" ref="K3:K6" si="0">(D3+E3+F3+H3)-(G3+I3)</f>
        <v>44000000</v>
      </c>
      <c r="N3" s="40"/>
      <c r="V3" s="40">
        <f t="shared" ref="V3:V67" si="1">(K3+L3+M3+N3+O3+P3+Q3+R3+T3)-(S3+U3)</f>
        <v>44000000</v>
      </c>
    </row>
    <row r="4" spans="1:22" ht="30" x14ac:dyDescent="0.25">
      <c r="A4" s="1" t="s">
        <v>26</v>
      </c>
      <c r="B4" s="2" t="s">
        <v>27</v>
      </c>
      <c r="C4" s="190">
        <v>510</v>
      </c>
      <c r="D4" s="4">
        <v>32000000</v>
      </c>
      <c r="E4" s="4">
        <v>21000000</v>
      </c>
      <c r="F4">
        <v>854378</v>
      </c>
      <c r="K4" s="40">
        <f t="shared" si="0"/>
        <v>53854378</v>
      </c>
      <c r="M4">
        <v>1000000</v>
      </c>
      <c r="N4" s="40"/>
      <c r="V4" s="40">
        <f t="shared" si="1"/>
        <v>54854378</v>
      </c>
    </row>
    <row r="5" spans="1:22" ht="30" x14ac:dyDescent="0.25">
      <c r="A5" s="1" t="s">
        <v>29</v>
      </c>
      <c r="B5" s="2" t="s">
        <v>30</v>
      </c>
      <c r="C5" s="192">
        <v>510</v>
      </c>
      <c r="D5" s="4">
        <v>12000000</v>
      </c>
      <c r="E5" s="4">
        <v>17594219</v>
      </c>
      <c r="K5" s="40">
        <f t="shared" si="0"/>
        <v>29594219</v>
      </c>
      <c r="N5" s="40"/>
      <c r="V5" s="40">
        <f t="shared" si="1"/>
        <v>29594219</v>
      </c>
    </row>
    <row r="6" spans="1:22" ht="30" x14ac:dyDescent="0.25">
      <c r="A6" s="1" t="s">
        <v>33</v>
      </c>
      <c r="B6" s="2" t="s">
        <v>34</v>
      </c>
      <c r="C6" s="190">
        <v>510</v>
      </c>
      <c r="D6" s="4">
        <v>36000000</v>
      </c>
      <c r="E6" s="4"/>
      <c r="K6" s="40">
        <f t="shared" si="0"/>
        <v>36000000</v>
      </c>
      <c r="N6" s="40"/>
      <c r="V6" s="40">
        <f t="shared" si="1"/>
        <v>36000000</v>
      </c>
    </row>
    <row r="7" spans="1:22" ht="45" x14ac:dyDescent="0.25">
      <c r="A7" s="9" t="s">
        <v>37</v>
      </c>
      <c r="B7" s="2" t="s">
        <v>38</v>
      </c>
      <c r="C7" s="190">
        <v>310</v>
      </c>
      <c r="D7" s="4">
        <v>120000000</v>
      </c>
      <c r="E7" s="4"/>
      <c r="F7">
        <v>58290131</v>
      </c>
      <c r="K7" s="40">
        <f t="shared" ref="K7:K12" si="2">(D7+E7+F7+H7)-(G7+I7)</f>
        <v>178290131</v>
      </c>
      <c r="N7" s="40"/>
      <c r="V7" s="40">
        <f t="shared" si="1"/>
        <v>178290131</v>
      </c>
    </row>
    <row r="8" spans="1:22" x14ac:dyDescent="0.25">
      <c r="A8" s="1" t="s">
        <v>40</v>
      </c>
      <c r="B8" s="2" t="s">
        <v>41</v>
      </c>
      <c r="C8" s="190">
        <v>310</v>
      </c>
      <c r="D8" s="4">
        <v>331000000</v>
      </c>
      <c r="E8" s="4">
        <v>186290131</v>
      </c>
      <c r="G8">
        <v>158290131</v>
      </c>
      <c r="K8" s="40">
        <f t="shared" si="2"/>
        <v>359000000</v>
      </c>
      <c r="N8" s="40"/>
      <c r="R8">
        <v>5000000</v>
      </c>
      <c r="V8" s="40">
        <f t="shared" si="1"/>
        <v>364000000</v>
      </c>
    </row>
    <row r="9" spans="1:22" x14ac:dyDescent="0.25">
      <c r="A9" s="1" t="s">
        <v>43</v>
      </c>
      <c r="B9" s="2" t="s">
        <v>44</v>
      </c>
      <c r="C9" s="190">
        <v>310</v>
      </c>
      <c r="D9" s="4">
        <v>30000000</v>
      </c>
      <c r="E9" s="4"/>
      <c r="K9" s="40">
        <f t="shared" si="2"/>
        <v>30000000</v>
      </c>
      <c r="N9" s="40"/>
      <c r="V9" s="40">
        <f t="shared" si="1"/>
        <v>30000000</v>
      </c>
    </row>
    <row r="10" spans="1:22" ht="30" x14ac:dyDescent="0.25">
      <c r="A10" s="1" t="s">
        <v>45</v>
      </c>
      <c r="B10" s="2" t="s">
        <v>46</v>
      </c>
      <c r="C10" s="190">
        <v>310</v>
      </c>
      <c r="D10" s="4">
        <v>0</v>
      </c>
      <c r="E10" s="4">
        <v>23240492</v>
      </c>
      <c r="K10" s="40">
        <f t="shared" si="2"/>
        <v>23240492</v>
      </c>
      <c r="V10" s="40">
        <f t="shared" si="1"/>
        <v>23240492</v>
      </c>
    </row>
    <row r="11" spans="1:22" x14ac:dyDescent="0.25">
      <c r="A11" s="1" t="s">
        <v>48</v>
      </c>
      <c r="B11" s="2" t="s">
        <v>49</v>
      </c>
      <c r="C11" s="190">
        <v>310</v>
      </c>
      <c r="D11" s="4">
        <v>0</v>
      </c>
      <c r="E11" s="4"/>
      <c r="K11" s="40">
        <f t="shared" si="2"/>
        <v>0</v>
      </c>
      <c r="V11" s="40">
        <f t="shared" si="1"/>
        <v>0</v>
      </c>
    </row>
    <row r="12" spans="1:22" ht="60" x14ac:dyDescent="0.25">
      <c r="A12" s="9" t="s">
        <v>51</v>
      </c>
      <c r="B12" s="2" t="s">
        <v>52</v>
      </c>
      <c r="C12" s="190">
        <v>510</v>
      </c>
      <c r="D12" s="4">
        <v>210600000</v>
      </c>
      <c r="E12" s="4">
        <v>150000000</v>
      </c>
      <c r="K12" s="40">
        <f t="shared" si="2"/>
        <v>360600000</v>
      </c>
      <c r="L12">
        <v>4000000</v>
      </c>
      <c r="N12">
        <v>3000000</v>
      </c>
      <c r="V12" s="40">
        <f t="shared" si="1"/>
        <v>367600000</v>
      </c>
    </row>
    <row r="13" spans="1:22" ht="30" x14ac:dyDescent="0.25">
      <c r="A13" s="1" t="s">
        <v>55</v>
      </c>
      <c r="B13" s="2" t="s">
        <v>56</v>
      </c>
      <c r="C13" s="190">
        <v>510</v>
      </c>
      <c r="D13" s="4">
        <v>50000000</v>
      </c>
      <c r="E13" s="4">
        <v>50000000</v>
      </c>
      <c r="K13" s="40">
        <f t="shared" ref="K13:K23" si="3">(D13+E13+F13+H13)-(G13+I13)</f>
        <v>100000000</v>
      </c>
      <c r="V13" s="40">
        <f t="shared" si="1"/>
        <v>100000000</v>
      </c>
    </row>
    <row r="14" spans="1:22" ht="30" x14ac:dyDescent="0.25">
      <c r="A14" s="1" t="s">
        <v>58</v>
      </c>
      <c r="B14" s="2" t="s">
        <v>59</v>
      </c>
      <c r="C14" s="190">
        <v>510</v>
      </c>
      <c r="D14" s="4">
        <v>50000000</v>
      </c>
      <c r="E14" s="4">
        <v>25092920</v>
      </c>
      <c r="K14" s="40">
        <f t="shared" si="3"/>
        <v>75092920</v>
      </c>
      <c r="V14" s="40">
        <f t="shared" si="1"/>
        <v>75092920</v>
      </c>
    </row>
    <row r="15" spans="1:22" ht="30" x14ac:dyDescent="0.25">
      <c r="A15" s="1" t="s">
        <v>60</v>
      </c>
      <c r="B15" s="2" t="s">
        <v>61</v>
      </c>
      <c r="C15" s="190">
        <v>510</v>
      </c>
      <c r="D15" s="4">
        <v>80000000</v>
      </c>
      <c r="E15" s="4">
        <v>23646000</v>
      </c>
      <c r="K15" s="40">
        <f t="shared" si="3"/>
        <v>103646000</v>
      </c>
      <c r="V15" s="40">
        <f t="shared" si="1"/>
        <v>103646000</v>
      </c>
    </row>
    <row r="16" spans="1:22" x14ac:dyDescent="0.25">
      <c r="A16" s="1" t="s">
        <v>63</v>
      </c>
      <c r="B16" s="2" t="s">
        <v>64</v>
      </c>
      <c r="C16" s="190">
        <v>510</v>
      </c>
      <c r="D16" s="4">
        <v>34000000</v>
      </c>
      <c r="E16" s="4"/>
      <c r="K16" s="40">
        <f t="shared" si="3"/>
        <v>34000000</v>
      </c>
      <c r="V16" s="40">
        <f t="shared" si="1"/>
        <v>34000000</v>
      </c>
    </row>
    <row r="17" spans="1:22" ht="30" x14ac:dyDescent="0.25">
      <c r="A17" s="9" t="s">
        <v>66</v>
      </c>
      <c r="B17" s="2" t="s">
        <v>67</v>
      </c>
      <c r="C17" s="190">
        <v>510</v>
      </c>
      <c r="D17" s="4">
        <v>65000000</v>
      </c>
      <c r="E17" s="4"/>
      <c r="F17">
        <v>100000000</v>
      </c>
      <c r="K17" s="40">
        <f t="shared" si="3"/>
        <v>165000000</v>
      </c>
      <c r="N17">
        <v>16000000</v>
      </c>
      <c r="V17" s="40">
        <f t="shared" si="1"/>
        <v>181000000</v>
      </c>
    </row>
    <row r="18" spans="1:22" ht="30" x14ac:dyDescent="0.25">
      <c r="A18" s="9" t="s">
        <v>68</v>
      </c>
      <c r="B18" s="2" t="s">
        <v>69</v>
      </c>
      <c r="C18" s="190">
        <v>510</v>
      </c>
      <c r="D18" s="4">
        <v>25000000</v>
      </c>
      <c r="E18" s="4">
        <v>7440391</v>
      </c>
      <c r="K18" s="40">
        <f t="shared" si="3"/>
        <v>32440391</v>
      </c>
      <c r="N18">
        <v>5000000</v>
      </c>
      <c r="V18" s="40">
        <f t="shared" si="1"/>
        <v>37440391</v>
      </c>
    </row>
    <row r="19" spans="1:22" x14ac:dyDescent="0.25">
      <c r="A19" s="1" t="s">
        <v>70</v>
      </c>
      <c r="B19" s="2" t="s">
        <v>71</v>
      </c>
      <c r="C19" s="190">
        <v>510</v>
      </c>
      <c r="D19" s="4">
        <v>0</v>
      </c>
      <c r="E19" s="4"/>
      <c r="K19" s="40">
        <f t="shared" si="3"/>
        <v>0</v>
      </c>
      <c r="V19" s="40">
        <f t="shared" si="1"/>
        <v>0</v>
      </c>
    </row>
    <row r="20" spans="1:22" x14ac:dyDescent="0.25">
      <c r="A20" s="1" t="s">
        <v>74</v>
      </c>
      <c r="B20" s="2" t="s">
        <v>75</v>
      </c>
      <c r="C20" s="190">
        <v>510</v>
      </c>
      <c r="D20" s="4">
        <v>0</v>
      </c>
      <c r="E20" s="4"/>
      <c r="K20" s="40">
        <f t="shared" si="3"/>
        <v>0</v>
      </c>
      <c r="V20" s="40">
        <f t="shared" si="1"/>
        <v>0</v>
      </c>
    </row>
    <row r="21" spans="1:22" ht="30" x14ac:dyDescent="0.25">
      <c r="A21" s="1" t="s">
        <v>690</v>
      </c>
      <c r="B21" s="2" t="s">
        <v>691</v>
      </c>
      <c r="C21" s="215">
        <v>510</v>
      </c>
      <c r="D21" s="4">
        <v>0</v>
      </c>
      <c r="E21" s="4"/>
      <c r="K21" s="40">
        <f t="shared" si="3"/>
        <v>0</v>
      </c>
      <c r="V21" s="40">
        <f t="shared" si="1"/>
        <v>0</v>
      </c>
    </row>
    <row r="22" spans="1:22" x14ac:dyDescent="0.25">
      <c r="A22" s="1" t="s">
        <v>77</v>
      </c>
      <c r="B22" s="2" t="s">
        <v>78</v>
      </c>
      <c r="C22" s="190">
        <v>510</v>
      </c>
      <c r="D22" s="4">
        <v>12000000</v>
      </c>
      <c r="E22" s="4"/>
      <c r="K22" s="40">
        <f t="shared" si="3"/>
        <v>12000000</v>
      </c>
      <c r="V22" s="40">
        <f t="shared" si="1"/>
        <v>12000000</v>
      </c>
    </row>
    <row r="23" spans="1:22" ht="30" x14ac:dyDescent="0.25">
      <c r="A23" s="1" t="s">
        <v>79</v>
      </c>
      <c r="B23" s="2" t="s">
        <v>80</v>
      </c>
      <c r="C23" s="190">
        <v>510</v>
      </c>
      <c r="D23" s="4">
        <v>64500000</v>
      </c>
      <c r="E23" s="4">
        <v>9000000</v>
      </c>
      <c r="K23" s="40">
        <f t="shared" si="3"/>
        <v>73500000</v>
      </c>
      <c r="V23" s="40">
        <f t="shared" si="1"/>
        <v>73500000</v>
      </c>
    </row>
    <row r="24" spans="1:22" x14ac:dyDescent="0.25">
      <c r="A24" s="1" t="s">
        <v>82</v>
      </c>
      <c r="B24" s="11" t="s">
        <v>83</v>
      </c>
      <c r="C24" s="190">
        <v>510</v>
      </c>
      <c r="D24" s="4">
        <v>20000000</v>
      </c>
      <c r="E24" s="4"/>
      <c r="K24" s="40">
        <f t="shared" ref="K24" si="4">(D24+E24+F24+H24)-(G24+I24)</f>
        <v>20000000</v>
      </c>
      <c r="V24" s="40">
        <f t="shared" si="1"/>
        <v>20000000</v>
      </c>
    </row>
    <row r="25" spans="1:22" x14ac:dyDescent="0.25">
      <c r="A25" s="225"/>
      <c r="B25" s="225"/>
      <c r="C25" s="225"/>
      <c r="D25" s="226">
        <f>SUM(D3:D24)</f>
        <v>1193100000</v>
      </c>
      <c r="E25" s="226">
        <f t="shared" ref="E25:L25" si="5">SUM(E3:E24)</f>
        <v>536304153</v>
      </c>
      <c r="F25" s="226">
        <f t="shared" si="5"/>
        <v>159144509</v>
      </c>
      <c r="G25" s="226">
        <f t="shared" si="5"/>
        <v>158290131</v>
      </c>
      <c r="H25" s="226">
        <f t="shared" si="5"/>
        <v>0</v>
      </c>
      <c r="I25" s="226">
        <f t="shared" si="5"/>
        <v>0</v>
      </c>
      <c r="J25" s="226">
        <f t="shared" si="5"/>
        <v>0</v>
      </c>
      <c r="K25" s="226">
        <f t="shared" si="5"/>
        <v>1730258531</v>
      </c>
      <c r="L25" s="226">
        <f t="shared" si="5"/>
        <v>4000000</v>
      </c>
      <c r="M25" s="226">
        <f t="shared" ref="M25" si="6">SUM(M3:M24)</f>
        <v>1000000</v>
      </c>
      <c r="N25" s="226">
        <f t="shared" ref="N25" si="7">SUM(N3:N24)</f>
        <v>24000000</v>
      </c>
      <c r="O25" s="226">
        <f t="shared" ref="O25" si="8">SUM(O3:O24)</f>
        <v>0</v>
      </c>
      <c r="P25" s="226">
        <f t="shared" ref="P25:Q25" si="9">SUM(P3:P24)</f>
        <v>0</v>
      </c>
      <c r="Q25" s="226">
        <f t="shared" si="9"/>
        <v>0</v>
      </c>
      <c r="R25" s="226">
        <f t="shared" ref="R25" si="10">SUM(R3:R24)</f>
        <v>5000000</v>
      </c>
      <c r="S25" s="226">
        <f t="shared" ref="S25" si="11">SUM(S3:S24)</f>
        <v>0</v>
      </c>
      <c r="T25" s="226">
        <f t="shared" ref="T25" si="12">SUM(T3:T24)</f>
        <v>0</v>
      </c>
      <c r="U25" s="226">
        <f t="shared" ref="U25" si="13">SUM(U3:U24)</f>
        <v>0</v>
      </c>
      <c r="V25" s="226">
        <f>(K25+L25+M25+N25+O25+P25+Q25+R25+T25)-(S25+U25)</f>
        <v>1764258531</v>
      </c>
    </row>
    <row r="26" spans="1:22" x14ac:dyDescent="0.25">
      <c r="A26" t="s">
        <v>87</v>
      </c>
      <c r="B26" s="2" t="s">
        <v>88</v>
      </c>
      <c r="C26" s="55">
        <v>410</v>
      </c>
      <c r="D26" s="40">
        <v>150000000</v>
      </c>
      <c r="K26" s="40">
        <f t="shared" ref="K26:K32" si="14">(D26+E26+F26+H26)-(G26+I26)</f>
        <v>150000000</v>
      </c>
      <c r="V26" s="40">
        <f t="shared" si="1"/>
        <v>150000000</v>
      </c>
    </row>
    <row r="27" spans="1:22" ht="30" x14ac:dyDescent="0.25">
      <c r="A27" t="s">
        <v>90</v>
      </c>
      <c r="B27" s="2" t="s">
        <v>91</v>
      </c>
      <c r="C27" s="55">
        <v>410</v>
      </c>
      <c r="D27" s="40">
        <v>350000000</v>
      </c>
      <c r="K27" s="40">
        <f t="shared" si="14"/>
        <v>350000000</v>
      </c>
      <c r="V27" s="40">
        <f t="shared" si="1"/>
        <v>350000000</v>
      </c>
    </row>
    <row r="28" spans="1:22" x14ac:dyDescent="0.25">
      <c r="A28" t="s">
        <v>93</v>
      </c>
      <c r="B28" s="2" t="s">
        <v>94</v>
      </c>
      <c r="C28" s="55">
        <v>410</v>
      </c>
      <c r="D28" s="40">
        <v>1418000000</v>
      </c>
      <c r="K28" s="40">
        <f t="shared" si="14"/>
        <v>1418000000</v>
      </c>
      <c r="V28" s="40">
        <f t="shared" si="1"/>
        <v>1418000000</v>
      </c>
    </row>
    <row r="29" spans="1:22" x14ac:dyDescent="0.25">
      <c r="A29" t="s">
        <v>96</v>
      </c>
      <c r="B29" s="2" t="s">
        <v>97</v>
      </c>
      <c r="C29" s="55">
        <v>410</v>
      </c>
      <c r="D29" s="40">
        <v>15000000</v>
      </c>
      <c r="K29" s="40">
        <f t="shared" si="14"/>
        <v>15000000</v>
      </c>
      <c r="V29" s="40">
        <f t="shared" si="1"/>
        <v>15000000</v>
      </c>
    </row>
    <row r="30" spans="1:22" ht="30" x14ac:dyDescent="0.25">
      <c r="A30" t="s">
        <v>99</v>
      </c>
      <c r="B30" s="2" t="s">
        <v>100</v>
      </c>
      <c r="C30" s="55">
        <v>410</v>
      </c>
      <c r="D30" s="40">
        <v>333275758</v>
      </c>
      <c r="E30">
        <v>107030068</v>
      </c>
      <c r="K30" s="40">
        <f t="shared" si="14"/>
        <v>440305826</v>
      </c>
      <c r="V30" s="40">
        <f t="shared" si="1"/>
        <v>440305826</v>
      </c>
    </row>
    <row r="31" spans="1:22" x14ac:dyDescent="0.25">
      <c r="A31" t="s">
        <v>103</v>
      </c>
      <c r="B31" s="2" t="s">
        <v>104</v>
      </c>
      <c r="C31" s="55">
        <v>410</v>
      </c>
      <c r="D31" s="40">
        <v>5000000</v>
      </c>
      <c r="K31" s="40">
        <f t="shared" si="14"/>
        <v>5000000</v>
      </c>
      <c r="V31" s="40">
        <f t="shared" si="1"/>
        <v>5000000</v>
      </c>
    </row>
    <row r="32" spans="1:22" x14ac:dyDescent="0.25">
      <c r="A32" t="s">
        <v>106</v>
      </c>
      <c r="B32" s="2" t="s">
        <v>107</v>
      </c>
      <c r="C32" s="55">
        <v>410</v>
      </c>
      <c r="D32" s="40">
        <v>5000000</v>
      </c>
      <c r="K32" s="40">
        <f t="shared" si="14"/>
        <v>5000000</v>
      </c>
      <c r="V32" s="40">
        <f t="shared" si="1"/>
        <v>5000000</v>
      </c>
    </row>
    <row r="33" spans="1:22" ht="30" x14ac:dyDescent="0.25">
      <c r="A33" t="s">
        <v>109</v>
      </c>
      <c r="B33" s="2" t="s">
        <v>110</v>
      </c>
      <c r="C33" s="55">
        <v>410</v>
      </c>
      <c r="D33" s="40">
        <v>25000000</v>
      </c>
      <c r="I33">
        <v>25000000</v>
      </c>
      <c r="K33" s="40">
        <f t="shared" ref="K33:K62" si="15">(D33+E33+F33+H33)-(G33+I33)</f>
        <v>0</v>
      </c>
      <c r="V33" s="40">
        <f t="shared" si="1"/>
        <v>0</v>
      </c>
    </row>
    <row r="34" spans="1:22" ht="30" x14ac:dyDescent="0.25">
      <c r="A34" t="s">
        <v>111</v>
      </c>
      <c r="B34" s="2" t="s">
        <v>112</v>
      </c>
      <c r="C34" s="55">
        <v>410</v>
      </c>
      <c r="D34" s="40">
        <v>25000000</v>
      </c>
      <c r="I34">
        <v>7000000</v>
      </c>
      <c r="K34" s="40">
        <f t="shared" si="15"/>
        <v>18000000</v>
      </c>
      <c r="V34" s="40">
        <f t="shared" si="1"/>
        <v>18000000</v>
      </c>
    </row>
    <row r="35" spans="1:22" x14ac:dyDescent="0.25">
      <c r="A35" t="s">
        <v>114</v>
      </c>
      <c r="B35" s="2" t="s">
        <v>115</v>
      </c>
      <c r="C35" s="55">
        <v>410</v>
      </c>
      <c r="D35" s="40">
        <v>50000000</v>
      </c>
      <c r="K35" s="40">
        <f t="shared" si="15"/>
        <v>50000000</v>
      </c>
      <c r="V35" s="40">
        <f t="shared" si="1"/>
        <v>50000000</v>
      </c>
    </row>
    <row r="36" spans="1:22" x14ac:dyDescent="0.25">
      <c r="A36" t="s">
        <v>117</v>
      </c>
      <c r="B36" s="2" t="s">
        <v>118</v>
      </c>
      <c r="C36" s="55">
        <v>410</v>
      </c>
      <c r="D36" s="40">
        <v>50000000</v>
      </c>
      <c r="K36" s="40">
        <f t="shared" si="15"/>
        <v>50000000</v>
      </c>
      <c r="L36">
        <v>5000000</v>
      </c>
      <c r="V36" s="40">
        <f t="shared" si="1"/>
        <v>55000000</v>
      </c>
    </row>
    <row r="37" spans="1:22" x14ac:dyDescent="0.25">
      <c r="A37" t="s">
        <v>120</v>
      </c>
      <c r="B37" s="2" t="s">
        <v>121</v>
      </c>
      <c r="C37" s="55">
        <v>410</v>
      </c>
      <c r="D37" s="40">
        <v>90000000</v>
      </c>
      <c r="K37" s="40">
        <f t="shared" si="15"/>
        <v>90000000</v>
      </c>
      <c r="V37" s="40">
        <f t="shared" si="1"/>
        <v>90000000</v>
      </c>
    </row>
    <row r="38" spans="1:22" ht="30" x14ac:dyDescent="0.25">
      <c r="A38" t="s">
        <v>123</v>
      </c>
      <c r="B38" s="195" t="s">
        <v>124</v>
      </c>
      <c r="C38" s="55">
        <v>410</v>
      </c>
      <c r="D38" s="40">
        <v>8000000</v>
      </c>
      <c r="K38" s="40">
        <f t="shared" si="15"/>
        <v>8000000</v>
      </c>
      <c r="V38" s="40">
        <f t="shared" si="1"/>
        <v>8000000</v>
      </c>
    </row>
    <row r="39" spans="1:22" ht="30" x14ac:dyDescent="0.25">
      <c r="A39" t="s">
        <v>125</v>
      </c>
      <c r="B39" s="195" t="s">
        <v>126</v>
      </c>
      <c r="C39" s="55">
        <v>410</v>
      </c>
      <c r="D39" s="40">
        <v>200000000</v>
      </c>
      <c r="E39">
        <v>15907499</v>
      </c>
      <c r="K39" s="40">
        <f t="shared" si="15"/>
        <v>215907499</v>
      </c>
      <c r="Q39">
        <v>104039242</v>
      </c>
      <c r="V39" s="40">
        <f t="shared" si="1"/>
        <v>319946741</v>
      </c>
    </row>
    <row r="40" spans="1:22" x14ac:dyDescent="0.25">
      <c r="A40" t="s">
        <v>129</v>
      </c>
      <c r="B40" s="195" t="s">
        <v>130</v>
      </c>
      <c r="C40" s="55">
        <v>410</v>
      </c>
      <c r="D40" s="40">
        <v>40000000</v>
      </c>
      <c r="K40" s="40">
        <f t="shared" si="15"/>
        <v>40000000</v>
      </c>
      <c r="P40">
        <v>12000000</v>
      </c>
      <c r="V40" s="40">
        <f t="shared" si="1"/>
        <v>52000000</v>
      </c>
    </row>
    <row r="41" spans="1:22" x14ac:dyDescent="0.25">
      <c r="A41" t="s">
        <v>131</v>
      </c>
      <c r="B41" s="195" t="s">
        <v>132</v>
      </c>
      <c r="C41" s="55">
        <v>410</v>
      </c>
      <c r="D41" s="40">
        <v>70000000</v>
      </c>
      <c r="K41" s="40">
        <f t="shared" si="15"/>
        <v>70000000</v>
      </c>
      <c r="P41">
        <v>15000000</v>
      </c>
      <c r="V41" s="40">
        <f t="shared" si="1"/>
        <v>85000000</v>
      </c>
    </row>
    <row r="42" spans="1:22" x14ac:dyDescent="0.25">
      <c r="A42" t="s">
        <v>133</v>
      </c>
      <c r="B42" s="195" t="s">
        <v>134</v>
      </c>
      <c r="C42" s="55">
        <v>410</v>
      </c>
      <c r="D42" s="40">
        <v>80000000</v>
      </c>
      <c r="K42" s="40">
        <f t="shared" si="15"/>
        <v>80000000</v>
      </c>
      <c r="N42">
        <v>3000000</v>
      </c>
      <c r="V42" s="40">
        <f t="shared" si="1"/>
        <v>83000000</v>
      </c>
    </row>
    <row r="43" spans="1:22" x14ac:dyDescent="0.25">
      <c r="A43" t="s">
        <v>367</v>
      </c>
      <c r="B43" s="195" t="s">
        <v>368</v>
      </c>
      <c r="C43" s="55">
        <v>410</v>
      </c>
      <c r="D43" s="40"/>
      <c r="K43" s="40">
        <f t="shared" si="15"/>
        <v>0</v>
      </c>
      <c r="V43" s="40">
        <f t="shared" si="1"/>
        <v>0</v>
      </c>
    </row>
    <row r="44" spans="1:22" x14ac:dyDescent="0.25">
      <c r="A44" t="s">
        <v>136</v>
      </c>
      <c r="B44" s="195" t="s">
        <v>137</v>
      </c>
      <c r="C44" s="55">
        <v>410</v>
      </c>
      <c r="D44" s="40">
        <v>80000000</v>
      </c>
      <c r="K44" s="40">
        <f t="shared" si="15"/>
        <v>80000000</v>
      </c>
      <c r="V44" s="40">
        <f t="shared" si="1"/>
        <v>80000000</v>
      </c>
    </row>
    <row r="45" spans="1:22" x14ac:dyDescent="0.25">
      <c r="A45" t="s">
        <v>138</v>
      </c>
      <c r="B45" s="195" t="s">
        <v>139</v>
      </c>
      <c r="C45" s="55">
        <v>410</v>
      </c>
      <c r="D45" s="40">
        <v>35000000</v>
      </c>
      <c r="K45" s="40">
        <f t="shared" si="15"/>
        <v>35000000</v>
      </c>
      <c r="V45" s="40">
        <f t="shared" si="1"/>
        <v>35000000</v>
      </c>
    </row>
    <row r="46" spans="1:22" x14ac:dyDescent="0.25">
      <c r="A46" t="s">
        <v>141</v>
      </c>
      <c r="B46" s="195" t="s">
        <v>142</v>
      </c>
      <c r="C46" s="55">
        <v>410</v>
      </c>
      <c r="D46" s="40">
        <v>2500000000</v>
      </c>
      <c r="E46">
        <v>657557814</v>
      </c>
      <c r="K46" s="40">
        <f t="shared" si="15"/>
        <v>3157557814</v>
      </c>
      <c r="V46" s="40">
        <f t="shared" si="1"/>
        <v>3157557814</v>
      </c>
    </row>
    <row r="47" spans="1:22" ht="30" x14ac:dyDescent="0.25">
      <c r="A47" t="s">
        <v>144</v>
      </c>
      <c r="B47" s="195" t="s">
        <v>145</v>
      </c>
      <c r="C47" s="55">
        <v>410</v>
      </c>
      <c r="D47" s="40">
        <v>50000000</v>
      </c>
      <c r="F47">
        <v>32000000</v>
      </c>
      <c r="K47" s="40">
        <f t="shared" si="15"/>
        <v>82000000</v>
      </c>
      <c r="P47">
        <v>80000000</v>
      </c>
      <c r="V47" s="40">
        <f t="shared" si="1"/>
        <v>162000000</v>
      </c>
    </row>
    <row r="48" spans="1:22" x14ac:dyDescent="0.25">
      <c r="A48" t="s">
        <v>147</v>
      </c>
      <c r="B48" s="195" t="s">
        <v>148</v>
      </c>
      <c r="C48" s="55">
        <v>410</v>
      </c>
      <c r="D48" s="40">
        <v>0</v>
      </c>
      <c r="K48" s="40">
        <f t="shared" si="15"/>
        <v>0</v>
      </c>
      <c r="V48" s="40">
        <f t="shared" si="1"/>
        <v>0</v>
      </c>
    </row>
    <row r="49" spans="1:22" x14ac:dyDescent="0.25">
      <c r="A49" t="s">
        <v>150</v>
      </c>
      <c r="B49" s="195" t="s">
        <v>151</v>
      </c>
      <c r="C49" s="55">
        <v>410</v>
      </c>
      <c r="D49" s="40">
        <v>0</v>
      </c>
      <c r="K49" s="40">
        <f t="shared" si="15"/>
        <v>0</v>
      </c>
      <c r="V49" s="40">
        <f t="shared" si="1"/>
        <v>0</v>
      </c>
    </row>
    <row r="50" spans="1:22" ht="30" x14ac:dyDescent="0.25">
      <c r="A50" t="s">
        <v>152</v>
      </c>
      <c r="B50" s="195" t="s">
        <v>153</v>
      </c>
      <c r="C50" s="55">
        <v>410</v>
      </c>
      <c r="D50" s="40">
        <v>0</v>
      </c>
      <c r="K50" s="40">
        <f t="shared" si="15"/>
        <v>0</v>
      </c>
      <c r="V50" s="40">
        <f t="shared" si="1"/>
        <v>0</v>
      </c>
    </row>
    <row r="51" spans="1:22" x14ac:dyDescent="0.25">
      <c r="A51" t="s">
        <v>154</v>
      </c>
      <c r="B51" s="195" t="s">
        <v>155</v>
      </c>
      <c r="C51" s="55">
        <v>410</v>
      </c>
      <c r="D51" s="40">
        <v>0</v>
      </c>
      <c r="K51" s="40">
        <f t="shared" si="15"/>
        <v>0</v>
      </c>
      <c r="V51" s="40">
        <f t="shared" si="1"/>
        <v>0</v>
      </c>
    </row>
    <row r="52" spans="1:22" ht="30" x14ac:dyDescent="0.25">
      <c r="A52" t="s">
        <v>156</v>
      </c>
      <c r="B52" s="195" t="s">
        <v>157</v>
      </c>
      <c r="C52" s="55">
        <v>410</v>
      </c>
      <c r="D52" s="40">
        <v>0</v>
      </c>
      <c r="K52" s="40">
        <f t="shared" si="15"/>
        <v>0</v>
      </c>
      <c r="V52" s="40">
        <f t="shared" si="1"/>
        <v>0</v>
      </c>
    </row>
    <row r="53" spans="1:22" x14ac:dyDescent="0.25">
      <c r="A53" t="s">
        <v>159</v>
      </c>
      <c r="B53" s="195" t="s">
        <v>160</v>
      </c>
      <c r="C53" s="55">
        <v>410</v>
      </c>
      <c r="D53" s="40">
        <v>0</v>
      </c>
      <c r="K53" s="40">
        <f t="shared" si="15"/>
        <v>0</v>
      </c>
      <c r="V53" s="40">
        <f t="shared" si="1"/>
        <v>0</v>
      </c>
    </row>
    <row r="54" spans="1:22" x14ac:dyDescent="0.25">
      <c r="A54" t="s">
        <v>161</v>
      </c>
      <c r="B54" s="195" t="s">
        <v>162</v>
      </c>
      <c r="C54" s="55">
        <v>410</v>
      </c>
      <c r="D54" s="40">
        <v>0</v>
      </c>
      <c r="K54" s="40">
        <f t="shared" si="15"/>
        <v>0</v>
      </c>
      <c r="V54" s="40">
        <f t="shared" si="1"/>
        <v>0</v>
      </c>
    </row>
    <row r="55" spans="1:22" ht="30" x14ac:dyDescent="0.25">
      <c r="A55" t="s">
        <v>164</v>
      </c>
      <c r="B55" s="195" t="s">
        <v>165</v>
      </c>
      <c r="C55" s="55">
        <v>410</v>
      </c>
      <c r="D55" s="40">
        <v>50000000</v>
      </c>
      <c r="K55" s="40">
        <f t="shared" si="15"/>
        <v>50000000</v>
      </c>
      <c r="P55">
        <v>30000000</v>
      </c>
      <c r="V55" s="40">
        <f t="shared" si="1"/>
        <v>80000000</v>
      </c>
    </row>
    <row r="56" spans="1:22" ht="30" x14ac:dyDescent="0.25">
      <c r="A56" t="s">
        <v>167</v>
      </c>
      <c r="B56" s="195" t="s">
        <v>168</v>
      </c>
      <c r="C56" s="55">
        <v>410</v>
      </c>
      <c r="D56" s="40">
        <v>55000000</v>
      </c>
      <c r="K56" s="40">
        <f t="shared" si="15"/>
        <v>55000000</v>
      </c>
      <c r="S56">
        <v>5000000</v>
      </c>
      <c r="V56" s="40">
        <f t="shared" si="1"/>
        <v>50000000</v>
      </c>
    </row>
    <row r="57" spans="1:22" ht="30" x14ac:dyDescent="0.25">
      <c r="A57" t="s">
        <v>171</v>
      </c>
      <c r="B57" s="195" t="s">
        <v>172</v>
      </c>
      <c r="C57" s="55">
        <v>410</v>
      </c>
      <c r="D57" s="40">
        <v>40000000</v>
      </c>
      <c r="K57" s="40">
        <f t="shared" si="15"/>
        <v>40000000</v>
      </c>
      <c r="V57" s="40">
        <f t="shared" si="1"/>
        <v>40000000</v>
      </c>
    </row>
    <row r="58" spans="1:22" ht="30" x14ac:dyDescent="0.25">
      <c r="A58" t="s">
        <v>173</v>
      </c>
      <c r="B58" s="195" t="s">
        <v>174</v>
      </c>
      <c r="C58" s="55">
        <v>410</v>
      </c>
      <c r="D58" s="40">
        <v>10000000</v>
      </c>
      <c r="K58" s="40">
        <f t="shared" si="15"/>
        <v>10000000</v>
      </c>
      <c r="V58" s="40">
        <f t="shared" si="1"/>
        <v>10000000</v>
      </c>
    </row>
    <row r="59" spans="1:22" ht="30" x14ac:dyDescent="0.25">
      <c r="A59" t="s">
        <v>176</v>
      </c>
      <c r="B59" s="195" t="s">
        <v>177</v>
      </c>
      <c r="C59" s="55">
        <v>410</v>
      </c>
      <c r="D59" s="40">
        <v>70000000</v>
      </c>
      <c r="H59">
        <v>60000000</v>
      </c>
      <c r="K59" s="40">
        <f t="shared" si="15"/>
        <v>130000000</v>
      </c>
      <c r="V59" s="40">
        <f t="shared" si="1"/>
        <v>130000000</v>
      </c>
    </row>
    <row r="60" spans="1:22" x14ac:dyDescent="0.25">
      <c r="A60" t="s">
        <v>178</v>
      </c>
      <c r="B60" s="195" t="s">
        <v>179</v>
      </c>
      <c r="C60" s="55">
        <v>410</v>
      </c>
      <c r="D60" s="40">
        <v>25000000</v>
      </c>
      <c r="K60" s="40">
        <f t="shared" si="15"/>
        <v>25000000</v>
      </c>
      <c r="V60" s="40">
        <f t="shared" si="1"/>
        <v>25000000</v>
      </c>
    </row>
    <row r="61" spans="1:22" x14ac:dyDescent="0.25">
      <c r="A61" t="s">
        <v>181</v>
      </c>
      <c r="B61" s="195" t="s">
        <v>182</v>
      </c>
      <c r="C61" s="55">
        <v>410</v>
      </c>
      <c r="D61" s="40">
        <v>25000000</v>
      </c>
      <c r="E61">
        <v>127267490</v>
      </c>
      <c r="I61">
        <v>60000000</v>
      </c>
      <c r="K61" s="40">
        <f t="shared" si="15"/>
        <v>92267490</v>
      </c>
      <c r="V61" s="40">
        <f t="shared" si="1"/>
        <v>92267490</v>
      </c>
    </row>
    <row r="62" spans="1:22" ht="30" x14ac:dyDescent="0.25">
      <c r="A62" t="s">
        <v>184</v>
      </c>
      <c r="B62" s="195" t="s">
        <v>185</v>
      </c>
      <c r="C62" s="55">
        <v>410</v>
      </c>
      <c r="D62" s="40">
        <v>20000000</v>
      </c>
      <c r="K62" s="40">
        <f t="shared" si="15"/>
        <v>20000000</v>
      </c>
      <c r="V62" s="40">
        <f t="shared" si="1"/>
        <v>20000000</v>
      </c>
    </row>
    <row r="63" spans="1:22" x14ac:dyDescent="0.25">
      <c r="A63" s="225"/>
      <c r="B63" s="225"/>
      <c r="C63" s="225"/>
      <c r="D63" s="226">
        <f>SUM(D26:D62)</f>
        <v>5874275758</v>
      </c>
      <c r="E63" s="226">
        <f t="shared" ref="E63:L63" si="16">SUM(E26:E62)</f>
        <v>907762871</v>
      </c>
      <c r="F63" s="226">
        <f t="shared" si="16"/>
        <v>32000000</v>
      </c>
      <c r="G63" s="226">
        <f t="shared" si="16"/>
        <v>0</v>
      </c>
      <c r="H63" s="226">
        <f t="shared" si="16"/>
        <v>60000000</v>
      </c>
      <c r="I63" s="226">
        <f t="shared" si="16"/>
        <v>92000000</v>
      </c>
      <c r="J63" s="226">
        <f t="shared" si="16"/>
        <v>0</v>
      </c>
      <c r="K63" s="226">
        <f t="shared" si="16"/>
        <v>6782038629</v>
      </c>
      <c r="L63" s="226">
        <f t="shared" si="16"/>
        <v>5000000</v>
      </c>
      <c r="M63" s="226">
        <f t="shared" ref="M63" si="17">SUM(M26:M62)</f>
        <v>0</v>
      </c>
      <c r="N63" s="226">
        <f>SUM(N26:N62)</f>
        <v>3000000</v>
      </c>
      <c r="O63" s="226">
        <f t="shared" ref="O63:Q63" si="18">SUM(O26:O62)</f>
        <v>0</v>
      </c>
      <c r="P63" s="226">
        <f t="shared" si="18"/>
        <v>137000000</v>
      </c>
      <c r="Q63" s="226">
        <f t="shared" si="18"/>
        <v>104039242</v>
      </c>
      <c r="R63" s="226">
        <f t="shared" ref="R63" si="19">SUM(R26:R62)</f>
        <v>0</v>
      </c>
      <c r="S63" s="226">
        <f t="shared" ref="S63:V63" si="20">SUM(S26:S62)</f>
        <v>5000000</v>
      </c>
      <c r="T63" s="226">
        <f t="shared" si="20"/>
        <v>0</v>
      </c>
      <c r="U63" s="226">
        <f t="shared" si="20"/>
        <v>0</v>
      </c>
      <c r="V63" s="226">
        <f t="shared" si="20"/>
        <v>7026077871</v>
      </c>
    </row>
    <row r="64" spans="1:22" x14ac:dyDescent="0.25">
      <c r="K64" s="40">
        <f t="shared" ref="K64" si="21">(D64+E64+F64)-(G64+H64)</f>
        <v>0</v>
      </c>
      <c r="V64" s="40">
        <f t="shared" si="1"/>
        <v>0</v>
      </c>
    </row>
    <row r="65" spans="1:22" ht="30" x14ac:dyDescent="0.25">
      <c r="A65" t="s">
        <v>189</v>
      </c>
      <c r="B65" s="195" t="s">
        <v>190</v>
      </c>
      <c r="C65">
        <v>520</v>
      </c>
      <c r="D65" s="40">
        <v>162000000</v>
      </c>
      <c r="K65" s="40">
        <f t="shared" ref="K65:K130" si="22">(D65+E65+F65+H65)-(G65+I65)</f>
        <v>162000000</v>
      </c>
      <c r="L65">
        <v>1000000</v>
      </c>
      <c r="R65">
        <v>5000000</v>
      </c>
      <c r="T65">
        <v>2000000</v>
      </c>
      <c r="V65" s="40">
        <f t="shared" si="1"/>
        <v>170000000</v>
      </c>
    </row>
    <row r="66" spans="1:22" x14ac:dyDescent="0.25">
      <c r="A66" t="s">
        <v>191</v>
      </c>
      <c r="B66" s="195" t="s">
        <v>192</v>
      </c>
      <c r="C66">
        <v>520</v>
      </c>
      <c r="D66" s="40">
        <v>7000000</v>
      </c>
      <c r="K66" s="40">
        <f t="shared" si="22"/>
        <v>7000000</v>
      </c>
      <c r="S66">
        <v>5000000</v>
      </c>
      <c r="U66">
        <v>2000000</v>
      </c>
      <c r="V66" s="40">
        <f t="shared" si="1"/>
        <v>0</v>
      </c>
    </row>
    <row r="67" spans="1:22" ht="30" x14ac:dyDescent="0.25">
      <c r="A67" t="s">
        <v>194</v>
      </c>
      <c r="B67" s="195" t="s">
        <v>195</v>
      </c>
      <c r="C67">
        <v>520</v>
      </c>
      <c r="D67" s="40">
        <v>2000000</v>
      </c>
      <c r="K67" s="40">
        <f t="shared" si="22"/>
        <v>2000000</v>
      </c>
      <c r="L67">
        <v>4000000</v>
      </c>
      <c r="V67" s="40">
        <f t="shared" si="1"/>
        <v>6000000</v>
      </c>
    </row>
    <row r="68" spans="1:22" x14ac:dyDescent="0.25">
      <c r="A68" t="s">
        <v>198</v>
      </c>
      <c r="B68" s="195" t="s">
        <v>199</v>
      </c>
      <c r="C68">
        <v>520</v>
      </c>
      <c r="D68" s="40">
        <v>34826876</v>
      </c>
      <c r="K68" s="40">
        <f t="shared" si="22"/>
        <v>34826876</v>
      </c>
      <c r="P68">
        <v>30000000</v>
      </c>
      <c r="S68">
        <v>4826876</v>
      </c>
      <c r="V68" s="40">
        <f t="shared" ref="V68:V130" si="23">(K68+L68+M68+N68+O68+P68+Q68+R68+T68)-(S68+U68)</f>
        <v>60000000</v>
      </c>
    </row>
    <row r="69" spans="1:22" ht="30" x14ac:dyDescent="0.25">
      <c r="A69" t="s">
        <v>201</v>
      </c>
      <c r="B69" s="195" t="s">
        <v>202</v>
      </c>
      <c r="C69">
        <v>520</v>
      </c>
      <c r="D69" s="40">
        <v>130000000</v>
      </c>
      <c r="I69">
        <v>110000000</v>
      </c>
      <c r="K69" s="40">
        <f t="shared" si="22"/>
        <v>20000000</v>
      </c>
      <c r="V69" s="40">
        <f t="shared" si="23"/>
        <v>20000000</v>
      </c>
    </row>
    <row r="70" spans="1:22" ht="30" x14ac:dyDescent="0.25">
      <c r="A70" t="s">
        <v>204</v>
      </c>
      <c r="B70" s="195" t="s">
        <v>205</v>
      </c>
      <c r="C70">
        <v>520</v>
      </c>
      <c r="D70" s="40">
        <v>1000000000</v>
      </c>
      <c r="E70">
        <v>18432040</v>
      </c>
      <c r="K70" s="40">
        <f t="shared" si="22"/>
        <v>1018432040</v>
      </c>
      <c r="L70">
        <v>12000000</v>
      </c>
      <c r="V70" s="40">
        <f t="shared" si="23"/>
        <v>1030432040</v>
      </c>
    </row>
    <row r="71" spans="1:22" x14ac:dyDescent="0.25">
      <c r="A71" t="s">
        <v>206</v>
      </c>
      <c r="B71" s="195" t="s">
        <v>207</v>
      </c>
      <c r="C71">
        <v>520</v>
      </c>
      <c r="D71" s="40">
        <v>94000000</v>
      </c>
      <c r="H71">
        <v>110000000</v>
      </c>
      <c r="K71" s="40">
        <f t="shared" si="22"/>
        <v>204000000</v>
      </c>
      <c r="N71">
        <v>1000000</v>
      </c>
      <c r="V71" s="40">
        <f t="shared" si="23"/>
        <v>205000000</v>
      </c>
    </row>
    <row r="72" spans="1:22" x14ac:dyDescent="0.25">
      <c r="A72" t="s">
        <v>209</v>
      </c>
      <c r="B72" s="195" t="s">
        <v>210</v>
      </c>
      <c r="C72">
        <v>520</v>
      </c>
      <c r="D72" s="40">
        <v>10000000</v>
      </c>
      <c r="K72" s="40">
        <f t="shared" si="22"/>
        <v>10000000</v>
      </c>
      <c r="N72">
        <v>4500000</v>
      </c>
      <c r="V72" s="40">
        <f t="shared" si="23"/>
        <v>14500000</v>
      </c>
    </row>
    <row r="73" spans="1:22" x14ac:dyDescent="0.25">
      <c r="A73" t="s">
        <v>211</v>
      </c>
      <c r="B73" s="195" t="s">
        <v>212</v>
      </c>
      <c r="C73">
        <v>520</v>
      </c>
      <c r="D73" s="40">
        <v>11500000</v>
      </c>
      <c r="K73" s="40">
        <f t="shared" si="22"/>
        <v>11500000</v>
      </c>
      <c r="V73" s="40">
        <f t="shared" si="23"/>
        <v>11500000</v>
      </c>
    </row>
    <row r="74" spans="1:22" x14ac:dyDescent="0.25">
      <c r="A74" t="s">
        <v>213</v>
      </c>
      <c r="B74" s="195" t="s">
        <v>214</v>
      </c>
      <c r="C74">
        <v>520</v>
      </c>
      <c r="D74" s="40">
        <v>293084973</v>
      </c>
      <c r="F74">
        <v>1000000</v>
      </c>
      <c r="K74" s="40">
        <f t="shared" si="22"/>
        <v>294084973</v>
      </c>
      <c r="L74">
        <v>30000000</v>
      </c>
      <c r="N74">
        <v>105550536</v>
      </c>
      <c r="V74" s="40">
        <f t="shared" si="23"/>
        <v>429635509</v>
      </c>
    </row>
    <row r="75" spans="1:22" ht="30" x14ac:dyDescent="0.25">
      <c r="A75" t="s">
        <v>215</v>
      </c>
      <c r="B75" s="195" t="s">
        <v>216</v>
      </c>
      <c r="C75">
        <v>520</v>
      </c>
      <c r="D75" s="40">
        <v>0</v>
      </c>
      <c r="K75" s="40">
        <f t="shared" si="22"/>
        <v>0</v>
      </c>
      <c r="V75" s="40">
        <f t="shared" si="23"/>
        <v>0</v>
      </c>
    </row>
    <row r="76" spans="1:22" ht="30" x14ac:dyDescent="0.25">
      <c r="A76" t="s">
        <v>217</v>
      </c>
      <c r="B76" s="195" t="s">
        <v>218</v>
      </c>
      <c r="C76">
        <v>520</v>
      </c>
      <c r="D76" s="40">
        <v>0</v>
      </c>
      <c r="K76" s="40">
        <f t="shared" si="22"/>
        <v>0</v>
      </c>
      <c r="V76" s="40">
        <f t="shared" si="23"/>
        <v>0</v>
      </c>
    </row>
    <row r="77" spans="1:22" ht="30" x14ac:dyDescent="0.25">
      <c r="A77" t="s">
        <v>220</v>
      </c>
      <c r="B77" s="195" t="s">
        <v>221</v>
      </c>
      <c r="C77">
        <v>520</v>
      </c>
      <c r="D77" s="40">
        <v>30000000</v>
      </c>
      <c r="K77" s="40">
        <f t="shared" si="22"/>
        <v>30000000</v>
      </c>
      <c r="V77" s="40">
        <f t="shared" si="23"/>
        <v>30000000</v>
      </c>
    </row>
    <row r="78" spans="1:22" x14ac:dyDescent="0.25">
      <c r="A78" t="s">
        <v>629</v>
      </c>
      <c r="B78" s="195" t="s">
        <v>630</v>
      </c>
      <c r="C78">
        <v>520</v>
      </c>
      <c r="D78" s="40">
        <v>0</v>
      </c>
      <c r="K78" s="40">
        <f t="shared" si="22"/>
        <v>0</v>
      </c>
      <c r="V78" s="40">
        <f t="shared" si="23"/>
        <v>0</v>
      </c>
    </row>
    <row r="79" spans="1:22" ht="30" x14ac:dyDescent="0.25">
      <c r="A79" t="s">
        <v>631</v>
      </c>
      <c r="B79" s="195" t="s">
        <v>632</v>
      </c>
      <c r="C79">
        <v>520</v>
      </c>
      <c r="D79" s="40">
        <v>0</v>
      </c>
      <c r="K79" s="40">
        <f t="shared" si="22"/>
        <v>0</v>
      </c>
      <c r="V79" s="40">
        <f t="shared" si="23"/>
        <v>0</v>
      </c>
    </row>
    <row r="80" spans="1:22" x14ac:dyDescent="0.25">
      <c r="A80" t="s">
        <v>633</v>
      </c>
      <c r="B80" s="195" t="s">
        <v>634</v>
      </c>
      <c r="C80">
        <v>520</v>
      </c>
      <c r="D80" s="40">
        <v>0</v>
      </c>
      <c r="K80" s="40">
        <f t="shared" si="22"/>
        <v>0</v>
      </c>
      <c r="V80" s="40">
        <f t="shared" si="23"/>
        <v>0</v>
      </c>
    </row>
    <row r="81" spans="1:22" x14ac:dyDescent="0.25">
      <c r="A81" t="s">
        <v>635</v>
      </c>
      <c r="B81" s="195" t="s">
        <v>636</v>
      </c>
      <c r="C81">
        <v>520</v>
      </c>
      <c r="D81" s="40">
        <v>0</v>
      </c>
      <c r="K81" s="40">
        <f t="shared" si="22"/>
        <v>0</v>
      </c>
      <c r="V81" s="40">
        <f t="shared" si="23"/>
        <v>0</v>
      </c>
    </row>
    <row r="82" spans="1:22" x14ac:dyDescent="0.25">
      <c r="A82" t="s">
        <v>637</v>
      </c>
      <c r="B82" s="195" t="s">
        <v>638</v>
      </c>
      <c r="C82">
        <v>520</v>
      </c>
      <c r="D82" s="40">
        <v>0</v>
      </c>
      <c r="K82" s="40">
        <f t="shared" si="22"/>
        <v>0</v>
      </c>
      <c r="V82" s="40">
        <f t="shared" si="23"/>
        <v>0</v>
      </c>
    </row>
    <row r="83" spans="1:22" ht="30" x14ac:dyDescent="0.25">
      <c r="A83" t="s">
        <v>223</v>
      </c>
      <c r="B83" s="195" t="s">
        <v>224</v>
      </c>
      <c r="C83">
        <v>520</v>
      </c>
      <c r="D83" s="40">
        <v>10000000</v>
      </c>
      <c r="K83" s="40">
        <f t="shared" si="22"/>
        <v>10000000</v>
      </c>
      <c r="V83" s="40">
        <f t="shared" si="23"/>
        <v>10000000</v>
      </c>
    </row>
    <row r="84" spans="1:22" ht="30" x14ac:dyDescent="0.25">
      <c r="A84" t="s">
        <v>225</v>
      </c>
      <c r="B84" s="195" t="s">
        <v>226</v>
      </c>
      <c r="C84">
        <v>520</v>
      </c>
      <c r="D84" s="40">
        <v>10000000</v>
      </c>
      <c r="K84" s="40">
        <f t="shared" si="22"/>
        <v>10000000</v>
      </c>
      <c r="V84" s="40">
        <f t="shared" si="23"/>
        <v>10000000</v>
      </c>
    </row>
    <row r="85" spans="1:22" x14ac:dyDescent="0.25">
      <c r="A85" t="s">
        <v>369</v>
      </c>
      <c r="B85" s="219" t="s">
        <v>687</v>
      </c>
      <c r="C85">
        <v>520</v>
      </c>
      <c r="D85" s="40"/>
      <c r="K85" s="40"/>
      <c r="R85">
        <v>4826876</v>
      </c>
      <c r="V85" s="40">
        <f t="shared" si="23"/>
        <v>4826876</v>
      </c>
    </row>
    <row r="86" spans="1:22" x14ac:dyDescent="0.25">
      <c r="A86" t="s">
        <v>228</v>
      </c>
      <c r="B86" s="195" t="s">
        <v>229</v>
      </c>
      <c r="C86">
        <v>520</v>
      </c>
      <c r="D86" s="40">
        <v>20000000</v>
      </c>
      <c r="K86" s="40">
        <f t="shared" si="22"/>
        <v>20000000</v>
      </c>
      <c r="V86" s="40">
        <f t="shared" si="23"/>
        <v>20000000</v>
      </c>
    </row>
    <row r="87" spans="1:22" ht="30" x14ac:dyDescent="0.25">
      <c r="A87" t="s">
        <v>230</v>
      </c>
      <c r="B87" s="195" t="s">
        <v>231</v>
      </c>
      <c r="C87">
        <v>520</v>
      </c>
      <c r="D87" s="40">
        <v>0</v>
      </c>
      <c r="K87" s="40">
        <f t="shared" si="22"/>
        <v>0</v>
      </c>
      <c r="V87" s="40">
        <f t="shared" si="23"/>
        <v>0</v>
      </c>
    </row>
    <row r="88" spans="1:22" x14ac:dyDescent="0.25">
      <c r="A88" t="s">
        <v>232</v>
      </c>
      <c r="B88" s="195" t="s">
        <v>233</v>
      </c>
      <c r="C88">
        <v>520</v>
      </c>
      <c r="D88" s="40">
        <v>0</v>
      </c>
      <c r="K88" s="40">
        <f t="shared" si="22"/>
        <v>0</v>
      </c>
      <c r="V88" s="40">
        <f t="shared" si="23"/>
        <v>0</v>
      </c>
    </row>
    <row r="89" spans="1:22" x14ac:dyDescent="0.25">
      <c r="A89" t="s">
        <v>234</v>
      </c>
      <c r="B89" s="195" t="s">
        <v>229</v>
      </c>
      <c r="C89">
        <v>520</v>
      </c>
      <c r="D89" s="40">
        <v>0</v>
      </c>
      <c r="K89" s="40">
        <f t="shared" si="22"/>
        <v>0</v>
      </c>
      <c r="V89" s="40">
        <f t="shared" si="23"/>
        <v>0</v>
      </c>
    </row>
    <row r="90" spans="1:22" ht="30" x14ac:dyDescent="0.25">
      <c r="A90" t="s">
        <v>236</v>
      </c>
      <c r="B90" s="195" t="s">
        <v>237</v>
      </c>
      <c r="C90">
        <v>520</v>
      </c>
      <c r="D90" s="40">
        <v>5000000</v>
      </c>
      <c r="K90" s="40">
        <f t="shared" si="22"/>
        <v>5000000</v>
      </c>
      <c r="V90" s="40">
        <f t="shared" si="23"/>
        <v>5000000</v>
      </c>
    </row>
    <row r="91" spans="1:22" ht="30" x14ac:dyDescent="0.25">
      <c r="A91" t="s">
        <v>238</v>
      </c>
      <c r="B91" s="195" t="s">
        <v>239</v>
      </c>
      <c r="C91">
        <v>520</v>
      </c>
      <c r="D91" s="40">
        <v>5000000</v>
      </c>
      <c r="K91" s="40">
        <f t="shared" si="22"/>
        <v>5000000</v>
      </c>
      <c r="V91" s="40">
        <f t="shared" si="23"/>
        <v>5000000</v>
      </c>
    </row>
    <row r="92" spans="1:22" x14ac:dyDescent="0.25">
      <c r="A92" t="s">
        <v>242</v>
      </c>
      <c r="B92" s="195" t="s">
        <v>243</v>
      </c>
      <c r="C92">
        <v>520</v>
      </c>
      <c r="D92" s="40">
        <v>6000000</v>
      </c>
      <c r="K92" s="40">
        <f t="shared" si="22"/>
        <v>6000000</v>
      </c>
      <c r="V92" s="40">
        <f t="shared" si="23"/>
        <v>6000000</v>
      </c>
    </row>
    <row r="93" spans="1:22" ht="30" x14ac:dyDescent="0.25">
      <c r="A93" t="s">
        <v>244</v>
      </c>
      <c r="B93" s="195" t="s">
        <v>245</v>
      </c>
      <c r="C93">
        <v>520</v>
      </c>
      <c r="D93" s="40">
        <v>6000000</v>
      </c>
      <c r="K93" s="40">
        <f t="shared" si="22"/>
        <v>6000000</v>
      </c>
      <c r="V93" s="40">
        <f t="shared" si="23"/>
        <v>6000000</v>
      </c>
    </row>
    <row r="94" spans="1:22" x14ac:dyDescent="0.25">
      <c r="A94" t="s">
        <v>246</v>
      </c>
      <c r="B94" s="195" t="s">
        <v>247</v>
      </c>
      <c r="C94">
        <v>520</v>
      </c>
      <c r="D94" s="40">
        <v>200000000</v>
      </c>
      <c r="K94" s="40">
        <f t="shared" si="22"/>
        <v>200000000</v>
      </c>
      <c r="N94">
        <v>3000000</v>
      </c>
      <c r="V94" s="40">
        <f t="shared" si="23"/>
        <v>203000000</v>
      </c>
    </row>
    <row r="95" spans="1:22" x14ac:dyDescent="0.25">
      <c r="A95" t="s">
        <v>248</v>
      </c>
      <c r="B95" s="195" t="s">
        <v>249</v>
      </c>
      <c r="C95">
        <v>520</v>
      </c>
      <c r="D95" s="40">
        <v>22029791</v>
      </c>
      <c r="K95" s="40">
        <f t="shared" si="22"/>
        <v>22029791</v>
      </c>
      <c r="N95">
        <v>11937798</v>
      </c>
      <c r="V95" s="40">
        <f t="shared" si="23"/>
        <v>33967589</v>
      </c>
    </row>
    <row r="96" spans="1:22" x14ac:dyDescent="0.25">
      <c r="A96" s="225"/>
      <c r="B96" s="225"/>
      <c r="C96" s="225"/>
      <c r="D96" s="226">
        <f t="shared" ref="D96:K96" si="24">SUM(D65:D95)</f>
        <v>2058441640</v>
      </c>
      <c r="E96" s="226">
        <f t="shared" si="24"/>
        <v>18432040</v>
      </c>
      <c r="F96" s="226">
        <f t="shared" si="24"/>
        <v>1000000</v>
      </c>
      <c r="G96" s="226">
        <f t="shared" si="24"/>
        <v>0</v>
      </c>
      <c r="H96" s="226">
        <f t="shared" si="24"/>
        <v>110000000</v>
      </c>
      <c r="I96" s="226">
        <f t="shared" si="24"/>
        <v>110000000</v>
      </c>
      <c r="J96" s="226">
        <f t="shared" si="24"/>
        <v>0</v>
      </c>
      <c r="K96" s="226">
        <f t="shared" si="24"/>
        <v>2077873680</v>
      </c>
      <c r="L96" s="226">
        <f t="shared" ref="L96:M96" si="25">SUM(L64:L95)</f>
        <v>47000000</v>
      </c>
      <c r="M96" s="226">
        <f t="shared" si="25"/>
        <v>0</v>
      </c>
      <c r="N96" s="226">
        <f>SUM(N64:N95)</f>
        <v>125988334</v>
      </c>
      <c r="O96" s="226">
        <f t="shared" ref="O96:Q96" si="26">SUM(O64:O95)</f>
        <v>0</v>
      </c>
      <c r="P96" s="226">
        <f t="shared" si="26"/>
        <v>30000000</v>
      </c>
      <c r="Q96" s="226">
        <f t="shared" si="26"/>
        <v>0</v>
      </c>
      <c r="R96" s="226">
        <f t="shared" ref="R96" si="27">SUM(R64:R95)</f>
        <v>9826876</v>
      </c>
      <c r="S96" s="226">
        <f t="shared" ref="S96" si="28">SUM(S64:S95)</f>
        <v>9826876</v>
      </c>
      <c r="T96" s="226">
        <f t="shared" ref="T96" si="29">SUM(T64:T95)</f>
        <v>2000000</v>
      </c>
      <c r="U96" s="226">
        <f t="shared" ref="U96:V96" si="30">SUM(U64:U95)</f>
        <v>2000000</v>
      </c>
      <c r="V96" s="226">
        <f t="shared" si="30"/>
        <v>2280862014</v>
      </c>
    </row>
    <row r="97" spans="1:22" x14ac:dyDescent="0.25">
      <c r="A97" s="191" t="s">
        <v>253</v>
      </c>
      <c r="B97" s="2" t="s">
        <v>254</v>
      </c>
      <c r="C97" s="190">
        <v>301</v>
      </c>
      <c r="D97" s="40">
        <v>95000000</v>
      </c>
      <c r="K97" s="40">
        <f t="shared" si="22"/>
        <v>95000000</v>
      </c>
      <c r="V97" s="40">
        <f t="shared" si="23"/>
        <v>95000000</v>
      </c>
    </row>
    <row r="98" spans="1:22" x14ac:dyDescent="0.25">
      <c r="A98" s="191" t="s">
        <v>257</v>
      </c>
      <c r="B98" s="2" t="s">
        <v>258</v>
      </c>
      <c r="C98" s="190">
        <v>301</v>
      </c>
      <c r="D98" s="40">
        <v>70000000</v>
      </c>
      <c r="K98" s="40">
        <f t="shared" si="22"/>
        <v>70000000</v>
      </c>
      <c r="V98" s="40">
        <f t="shared" si="23"/>
        <v>70000000</v>
      </c>
    </row>
    <row r="99" spans="1:22" x14ac:dyDescent="0.25">
      <c r="A99" s="191" t="s">
        <v>259</v>
      </c>
      <c r="B99" s="2" t="s">
        <v>260</v>
      </c>
      <c r="C99" s="190">
        <v>301</v>
      </c>
      <c r="D99" s="40">
        <v>45000000</v>
      </c>
      <c r="K99" s="40">
        <f t="shared" si="22"/>
        <v>45000000</v>
      </c>
      <c r="V99" s="40">
        <f t="shared" si="23"/>
        <v>45000000</v>
      </c>
    </row>
    <row r="100" spans="1:22" ht="30" x14ac:dyDescent="0.25">
      <c r="A100" s="191" t="s">
        <v>261</v>
      </c>
      <c r="B100" s="2" t="s">
        <v>262</v>
      </c>
      <c r="C100" s="190">
        <v>301</v>
      </c>
      <c r="D100" s="40">
        <v>2000000</v>
      </c>
      <c r="K100" s="40">
        <f t="shared" si="22"/>
        <v>2000000</v>
      </c>
      <c r="N100">
        <v>5000000</v>
      </c>
      <c r="V100" s="40">
        <f t="shared" si="23"/>
        <v>7000000</v>
      </c>
    </row>
    <row r="101" spans="1:22" x14ac:dyDescent="0.25">
      <c r="A101" s="191" t="s">
        <v>264</v>
      </c>
      <c r="B101" s="2" t="s">
        <v>370</v>
      </c>
      <c r="C101" s="190">
        <v>301</v>
      </c>
      <c r="D101" s="40">
        <v>35000000</v>
      </c>
      <c r="K101" s="40">
        <f t="shared" si="22"/>
        <v>35000000</v>
      </c>
      <c r="V101" s="40">
        <f t="shared" si="23"/>
        <v>35000000</v>
      </c>
    </row>
    <row r="102" spans="1:22" x14ac:dyDescent="0.25">
      <c r="A102" s="191" t="s">
        <v>266</v>
      </c>
      <c r="B102" s="2" t="s">
        <v>267</v>
      </c>
      <c r="C102" s="190">
        <v>301</v>
      </c>
      <c r="D102" s="40">
        <v>140000000</v>
      </c>
      <c r="K102" s="40">
        <f t="shared" si="22"/>
        <v>140000000</v>
      </c>
      <c r="V102" s="40">
        <f t="shared" si="23"/>
        <v>140000000</v>
      </c>
    </row>
    <row r="103" spans="1:22" ht="30" x14ac:dyDescent="0.25">
      <c r="A103" s="191" t="s">
        <v>269</v>
      </c>
      <c r="B103" s="2" t="s">
        <v>270</v>
      </c>
      <c r="C103" s="190">
        <v>301</v>
      </c>
      <c r="D103" s="40">
        <v>29955000</v>
      </c>
      <c r="K103" s="40">
        <f t="shared" si="22"/>
        <v>29955000</v>
      </c>
      <c r="V103" s="40">
        <f t="shared" si="23"/>
        <v>29955000</v>
      </c>
    </row>
    <row r="104" spans="1:22" ht="30" x14ac:dyDescent="0.25">
      <c r="A104" s="191" t="s">
        <v>600</v>
      </c>
      <c r="B104" s="2" t="s">
        <v>270</v>
      </c>
      <c r="C104" s="190">
        <v>301</v>
      </c>
      <c r="D104" s="40">
        <v>0</v>
      </c>
      <c r="K104" s="40">
        <f t="shared" si="22"/>
        <v>0</v>
      </c>
      <c r="V104" s="40">
        <f t="shared" si="23"/>
        <v>0</v>
      </c>
    </row>
    <row r="105" spans="1:22" x14ac:dyDescent="0.25">
      <c r="A105" s="193" t="s">
        <v>276</v>
      </c>
      <c r="B105" s="2" t="s">
        <v>277</v>
      </c>
      <c r="C105" s="192">
        <v>301</v>
      </c>
      <c r="D105" s="40">
        <v>300000000</v>
      </c>
      <c r="E105">
        <v>115000000</v>
      </c>
      <c r="K105" s="40">
        <f t="shared" si="22"/>
        <v>415000000</v>
      </c>
      <c r="N105">
        <v>1000000</v>
      </c>
      <c r="V105" s="40">
        <f t="shared" si="23"/>
        <v>416000000</v>
      </c>
    </row>
    <row r="106" spans="1:22" x14ac:dyDescent="0.25">
      <c r="A106" s="191" t="s">
        <v>280</v>
      </c>
      <c r="B106" s="2" t="s">
        <v>649</v>
      </c>
      <c r="C106" s="190">
        <v>301</v>
      </c>
      <c r="D106" s="40">
        <v>293000000</v>
      </c>
      <c r="E106">
        <v>115450000</v>
      </c>
      <c r="K106" s="40">
        <f t="shared" si="22"/>
        <v>408450000</v>
      </c>
      <c r="N106">
        <v>2098971</v>
      </c>
      <c r="V106" s="40">
        <f t="shared" si="23"/>
        <v>410548971</v>
      </c>
    </row>
    <row r="107" spans="1:22" ht="30" x14ac:dyDescent="0.25">
      <c r="A107" s="191" t="s">
        <v>285</v>
      </c>
      <c r="B107" s="2" t="s">
        <v>286</v>
      </c>
      <c r="C107" s="190">
        <v>301</v>
      </c>
      <c r="D107" s="40">
        <v>71564035</v>
      </c>
      <c r="F107">
        <v>4901190</v>
      </c>
      <c r="K107" s="40">
        <f t="shared" si="22"/>
        <v>76465225</v>
      </c>
      <c r="L107">
        <v>5000000</v>
      </c>
      <c r="M107">
        <v>5500000</v>
      </c>
      <c r="N107">
        <v>4200000</v>
      </c>
      <c r="V107" s="40">
        <f t="shared" si="23"/>
        <v>91165225</v>
      </c>
    </row>
    <row r="108" spans="1:22" x14ac:dyDescent="0.25">
      <c r="A108" s="191" t="s">
        <v>290</v>
      </c>
      <c r="B108" s="2" t="s">
        <v>650</v>
      </c>
      <c r="C108" s="190">
        <v>301</v>
      </c>
      <c r="D108" s="40">
        <v>1398000000</v>
      </c>
      <c r="E108">
        <f>26578511+6859058</f>
        <v>33437569</v>
      </c>
      <c r="K108" s="40">
        <f t="shared" si="22"/>
        <v>1431437569</v>
      </c>
      <c r="V108" s="40">
        <f t="shared" si="23"/>
        <v>1431437569</v>
      </c>
    </row>
    <row r="109" spans="1:22" ht="30" x14ac:dyDescent="0.25">
      <c r="A109" s="191" t="s">
        <v>291</v>
      </c>
      <c r="B109" s="2" t="s">
        <v>292</v>
      </c>
      <c r="C109" s="190">
        <v>301</v>
      </c>
      <c r="D109" s="40">
        <v>30000000</v>
      </c>
      <c r="K109" s="40">
        <f t="shared" si="22"/>
        <v>30000000</v>
      </c>
      <c r="V109" s="40">
        <f t="shared" si="23"/>
        <v>30000000</v>
      </c>
    </row>
    <row r="110" spans="1:22" x14ac:dyDescent="0.25">
      <c r="A110" s="191" t="s">
        <v>293</v>
      </c>
      <c r="B110" s="2" t="s">
        <v>294</v>
      </c>
      <c r="C110" s="33">
        <v>301</v>
      </c>
      <c r="D110" s="40">
        <v>84000000</v>
      </c>
      <c r="K110" s="40">
        <f t="shared" si="22"/>
        <v>84000000</v>
      </c>
      <c r="N110">
        <v>1000000</v>
      </c>
      <c r="V110" s="40">
        <f t="shared" si="23"/>
        <v>85000000</v>
      </c>
    </row>
    <row r="111" spans="1:22" x14ac:dyDescent="0.25">
      <c r="A111" s="191" t="s">
        <v>296</v>
      </c>
      <c r="B111" s="2" t="s">
        <v>297</v>
      </c>
      <c r="C111" s="33">
        <v>301</v>
      </c>
      <c r="D111" s="40">
        <v>50000000</v>
      </c>
      <c r="K111" s="40">
        <f t="shared" si="22"/>
        <v>50000000</v>
      </c>
      <c r="V111" s="40">
        <f t="shared" si="23"/>
        <v>50000000</v>
      </c>
    </row>
    <row r="112" spans="1:22" x14ac:dyDescent="0.25">
      <c r="A112" s="225"/>
      <c r="B112" s="225"/>
      <c r="C112" s="225"/>
      <c r="D112" s="226">
        <f>SUM(D97:D111)</f>
        <v>2643519035</v>
      </c>
      <c r="E112" s="226">
        <f t="shared" ref="E112:N112" si="31">SUM(E97:E111)</f>
        <v>263887569</v>
      </c>
      <c r="F112" s="226">
        <f t="shared" si="31"/>
        <v>4901190</v>
      </c>
      <c r="G112" s="226">
        <f t="shared" si="31"/>
        <v>0</v>
      </c>
      <c r="H112" s="226">
        <f t="shared" si="31"/>
        <v>0</v>
      </c>
      <c r="I112" s="226">
        <f t="shared" si="31"/>
        <v>0</v>
      </c>
      <c r="J112" s="226">
        <f t="shared" si="31"/>
        <v>0</v>
      </c>
      <c r="K112" s="226">
        <f t="shared" si="31"/>
        <v>2912307794</v>
      </c>
      <c r="L112" s="226">
        <f t="shared" si="31"/>
        <v>5000000</v>
      </c>
      <c r="M112" s="226">
        <f t="shared" si="31"/>
        <v>5500000</v>
      </c>
      <c r="N112" s="226">
        <f t="shared" si="31"/>
        <v>13298971</v>
      </c>
      <c r="O112" s="226">
        <f t="shared" ref="O112" si="32">SUM(O97:O111)</f>
        <v>0</v>
      </c>
      <c r="P112" s="226">
        <f t="shared" ref="P112:Q112" si="33">SUM(P97:P111)</f>
        <v>0</v>
      </c>
      <c r="Q112" s="226">
        <f t="shared" si="33"/>
        <v>0</v>
      </c>
      <c r="R112" s="226">
        <f t="shared" ref="R112" si="34">SUM(R97:R111)</f>
        <v>0</v>
      </c>
      <c r="S112" s="226">
        <f t="shared" ref="S112" si="35">SUM(S97:S111)</f>
        <v>0</v>
      </c>
      <c r="T112" s="226">
        <f t="shared" ref="T112" si="36">SUM(T97:T111)</f>
        <v>0</v>
      </c>
      <c r="U112" s="226">
        <f t="shared" ref="U112:V112" si="37">SUM(U97:U111)</f>
        <v>0</v>
      </c>
      <c r="V112" s="226">
        <f t="shared" si="37"/>
        <v>2936106765</v>
      </c>
    </row>
    <row r="113" spans="1:22" s="20" customFormat="1" ht="30" x14ac:dyDescent="0.25">
      <c r="A113" s="228" t="s">
        <v>681</v>
      </c>
      <c r="B113" s="231" t="s">
        <v>190</v>
      </c>
      <c r="C113" s="20">
        <v>510</v>
      </c>
      <c r="D113" s="227"/>
      <c r="E113" s="227"/>
      <c r="F113" s="227"/>
      <c r="G113" s="227"/>
      <c r="H113" s="227"/>
      <c r="I113" s="227"/>
      <c r="J113" s="227"/>
      <c r="K113" s="227"/>
      <c r="L113" s="227"/>
      <c r="M113" s="227"/>
      <c r="N113" s="227">
        <v>1500000</v>
      </c>
      <c r="V113" s="40">
        <f t="shared" si="23"/>
        <v>1500000</v>
      </c>
    </row>
    <row r="114" spans="1:22" x14ac:dyDescent="0.25">
      <c r="A114" s="191" t="s">
        <v>301</v>
      </c>
      <c r="B114" s="2" t="s">
        <v>302</v>
      </c>
      <c r="C114">
        <v>111</v>
      </c>
      <c r="D114" s="40">
        <v>0</v>
      </c>
      <c r="E114" s="40"/>
      <c r="F114" s="40">
        <v>1028515825</v>
      </c>
      <c r="G114" s="40"/>
      <c r="H114" s="40"/>
      <c r="I114" s="40"/>
      <c r="J114" s="40"/>
      <c r="K114" s="40">
        <f t="shared" si="22"/>
        <v>1028515825</v>
      </c>
      <c r="O114">
        <v>153485735</v>
      </c>
      <c r="U114">
        <v>227543349</v>
      </c>
      <c r="V114" s="40">
        <f t="shared" si="23"/>
        <v>954458211</v>
      </c>
    </row>
    <row r="115" spans="1:22" x14ac:dyDescent="0.25">
      <c r="A115" s="18" t="s">
        <v>303</v>
      </c>
      <c r="B115" s="2" t="s">
        <v>304</v>
      </c>
      <c r="C115">
        <v>111</v>
      </c>
      <c r="D115" s="40">
        <v>231441728</v>
      </c>
      <c r="E115" s="40">
        <f>6840985+30665828+12004716+665649946+100000000</f>
        <v>815161475</v>
      </c>
      <c r="F115" s="40"/>
      <c r="G115" s="40"/>
      <c r="H115" s="40"/>
      <c r="I115" s="40"/>
      <c r="J115" s="40"/>
      <c r="K115" s="40">
        <f t="shared" si="22"/>
        <v>1046603203</v>
      </c>
      <c r="L115">
        <v>4000000</v>
      </c>
      <c r="N115">
        <v>3000000</v>
      </c>
      <c r="P115">
        <v>100000000</v>
      </c>
      <c r="T115">
        <v>227543349</v>
      </c>
      <c r="V115" s="40">
        <f t="shared" si="23"/>
        <v>1381146552</v>
      </c>
    </row>
    <row r="116" spans="1:22" x14ac:dyDescent="0.25">
      <c r="A116" s="191" t="s">
        <v>306</v>
      </c>
      <c r="B116" s="2" t="s">
        <v>307</v>
      </c>
      <c r="C116">
        <v>111</v>
      </c>
      <c r="D116" s="40">
        <v>0</v>
      </c>
      <c r="E116" s="40"/>
      <c r="F116" s="40"/>
      <c r="G116" s="40"/>
      <c r="H116" s="40"/>
      <c r="I116" s="40"/>
      <c r="J116" s="40"/>
      <c r="K116" s="40">
        <f t="shared" si="22"/>
        <v>0</v>
      </c>
      <c r="V116" s="40">
        <f t="shared" si="23"/>
        <v>0</v>
      </c>
    </row>
    <row r="117" spans="1:22" ht="30" x14ac:dyDescent="0.25">
      <c r="A117" s="191" t="s">
        <v>310</v>
      </c>
      <c r="B117" s="2" t="s">
        <v>311</v>
      </c>
      <c r="C117">
        <v>211</v>
      </c>
      <c r="D117" s="40">
        <v>394883013</v>
      </c>
      <c r="E117" s="40">
        <f>135153822+1940856+815752314</f>
        <v>952846992</v>
      </c>
      <c r="F117" s="40"/>
      <c r="G117" s="40"/>
      <c r="H117" s="40"/>
      <c r="I117" s="40"/>
      <c r="J117" s="40"/>
      <c r="K117" s="40">
        <f t="shared" si="22"/>
        <v>1347730005</v>
      </c>
      <c r="V117" s="40">
        <f t="shared" si="23"/>
        <v>1347730005</v>
      </c>
    </row>
    <row r="118" spans="1:22" x14ac:dyDescent="0.25">
      <c r="A118" s="191" t="s">
        <v>314</v>
      </c>
      <c r="B118" s="24" t="s">
        <v>315</v>
      </c>
      <c r="C118">
        <v>211</v>
      </c>
      <c r="D118" s="40">
        <v>355787227</v>
      </c>
      <c r="E118" s="40"/>
      <c r="F118" s="40"/>
      <c r="G118" s="40"/>
      <c r="H118" s="40"/>
      <c r="I118" s="40"/>
      <c r="J118" s="40"/>
      <c r="K118" s="40">
        <f t="shared" si="22"/>
        <v>355787227</v>
      </c>
      <c r="L118">
        <v>16338076</v>
      </c>
      <c r="M118">
        <v>3095452</v>
      </c>
      <c r="N118">
        <v>24000000</v>
      </c>
      <c r="P118">
        <v>157081606</v>
      </c>
      <c r="V118" s="40">
        <f t="shared" si="23"/>
        <v>556302361</v>
      </c>
    </row>
    <row r="119" spans="1:22" x14ac:dyDescent="0.25">
      <c r="A119" s="18" t="s">
        <v>317</v>
      </c>
      <c r="B119" s="2" t="s">
        <v>318</v>
      </c>
      <c r="C119">
        <v>211</v>
      </c>
      <c r="D119" s="40">
        <v>260641061</v>
      </c>
      <c r="E119" s="40"/>
      <c r="F119" s="40">
        <f>1325109+10267</f>
        <v>1335376</v>
      </c>
      <c r="G119" s="40"/>
      <c r="H119" s="40"/>
      <c r="I119" s="40"/>
      <c r="J119" s="40"/>
      <c r="K119" s="40">
        <f t="shared" si="22"/>
        <v>261976437</v>
      </c>
      <c r="L119">
        <v>19384428</v>
      </c>
      <c r="M119">
        <v>505024</v>
      </c>
      <c r="N119">
        <v>15468663</v>
      </c>
      <c r="V119" s="40">
        <f t="shared" si="23"/>
        <v>297334552</v>
      </c>
    </row>
    <row r="120" spans="1:22" ht="30" x14ac:dyDescent="0.25">
      <c r="A120" s="191" t="s">
        <v>320</v>
      </c>
      <c r="B120" s="35" t="s">
        <v>321</v>
      </c>
      <c r="C120">
        <v>211</v>
      </c>
      <c r="D120" s="40">
        <v>3000000</v>
      </c>
      <c r="E120" s="40">
        <v>200000000</v>
      </c>
      <c r="F120" s="40"/>
      <c r="G120" s="40"/>
      <c r="H120" s="40"/>
      <c r="I120" s="40"/>
      <c r="J120" s="40"/>
      <c r="K120" s="40">
        <f t="shared" si="22"/>
        <v>203000000</v>
      </c>
      <c r="L120">
        <v>1038727</v>
      </c>
      <c r="N120">
        <v>20000000</v>
      </c>
      <c r="V120" s="40">
        <f t="shared" si="23"/>
        <v>224038727</v>
      </c>
    </row>
    <row r="121" spans="1:22" x14ac:dyDescent="0.25">
      <c r="A121" s="191" t="s">
        <v>323</v>
      </c>
      <c r="B121" s="2" t="s">
        <v>324</v>
      </c>
      <c r="C121">
        <v>211</v>
      </c>
      <c r="D121" s="40">
        <v>4000000</v>
      </c>
      <c r="E121" s="40"/>
      <c r="F121" s="40">
        <v>1865085</v>
      </c>
      <c r="G121" s="40"/>
      <c r="H121" s="40"/>
      <c r="I121" s="40"/>
      <c r="J121" s="40"/>
      <c r="K121" s="40">
        <f t="shared" si="22"/>
        <v>5865085</v>
      </c>
      <c r="N121">
        <v>2399999</v>
      </c>
      <c r="V121" s="40">
        <f t="shared" si="23"/>
        <v>8265084</v>
      </c>
    </row>
    <row r="122" spans="1:22" x14ac:dyDescent="0.25">
      <c r="A122" s="191" t="s">
        <v>326</v>
      </c>
      <c r="B122" s="2" t="s">
        <v>327</v>
      </c>
      <c r="C122">
        <v>211</v>
      </c>
      <c r="D122" s="40">
        <v>450000000</v>
      </c>
      <c r="E122" s="40"/>
      <c r="F122" s="40"/>
      <c r="G122" s="40"/>
      <c r="H122" s="40"/>
      <c r="I122" s="40"/>
      <c r="J122" s="40"/>
      <c r="K122" s="40">
        <f t="shared" si="22"/>
        <v>450000000</v>
      </c>
      <c r="N122">
        <v>5000000</v>
      </c>
      <c r="V122" s="40">
        <f t="shared" si="23"/>
        <v>455000000</v>
      </c>
    </row>
    <row r="123" spans="1:22" x14ac:dyDescent="0.25">
      <c r="A123" s="191" t="s">
        <v>329</v>
      </c>
      <c r="B123" s="2" t="s">
        <v>330</v>
      </c>
      <c r="C123">
        <v>211</v>
      </c>
      <c r="D123" s="40">
        <v>265000000</v>
      </c>
      <c r="E123" s="40"/>
      <c r="F123" s="40"/>
      <c r="G123" s="40"/>
      <c r="H123" s="40"/>
      <c r="I123" s="40"/>
      <c r="J123" s="40"/>
      <c r="K123" s="40">
        <f t="shared" si="22"/>
        <v>265000000</v>
      </c>
      <c r="V123" s="40">
        <f t="shared" si="23"/>
        <v>265000000</v>
      </c>
    </row>
    <row r="124" spans="1:22" ht="30" x14ac:dyDescent="0.25">
      <c r="A124" s="18" t="s">
        <v>333</v>
      </c>
      <c r="B124" s="2" t="s">
        <v>334</v>
      </c>
      <c r="C124" t="s">
        <v>335</v>
      </c>
      <c r="D124" s="40">
        <v>333941758</v>
      </c>
      <c r="E124" s="40">
        <v>366514874</v>
      </c>
      <c r="F124" s="40"/>
      <c r="G124" s="40"/>
      <c r="H124" s="40"/>
      <c r="I124" s="40"/>
      <c r="J124" s="40"/>
      <c r="K124" s="40">
        <f t="shared" si="22"/>
        <v>700456632</v>
      </c>
      <c r="V124" s="40">
        <f t="shared" si="23"/>
        <v>700456632</v>
      </c>
    </row>
    <row r="125" spans="1:22" ht="30" x14ac:dyDescent="0.25">
      <c r="A125" s="191" t="s">
        <v>337</v>
      </c>
      <c r="B125" s="2" t="s">
        <v>338</v>
      </c>
      <c r="C125">
        <v>510</v>
      </c>
      <c r="D125" s="40">
        <v>115954283</v>
      </c>
      <c r="E125" s="40"/>
      <c r="F125" s="40"/>
      <c r="G125" s="40"/>
      <c r="H125" s="40"/>
      <c r="I125" s="40"/>
      <c r="J125" s="40"/>
      <c r="K125" s="40">
        <f t="shared" si="22"/>
        <v>115954283</v>
      </c>
      <c r="V125" s="40">
        <f t="shared" si="23"/>
        <v>115954283</v>
      </c>
    </row>
    <row r="126" spans="1:22" ht="30" x14ac:dyDescent="0.25">
      <c r="A126" s="191" t="s">
        <v>340</v>
      </c>
      <c r="B126" s="2" t="s">
        <v>341</v>
      </c>
      <c r="C126">
        <v>510</v>
      </c>
      <c r="D126" s="40">
        <v>134000000</v>
      </c>
      <c r="E126" s="40"/>
      <c r="F126" s="40"/>
      <c r="G126" s="40"/>
      <c r="H126" s="40"/>
      <c r="I126" s="40"/>
      <c r="J126" s="40"/>
      <c r="K126" s="40">
        <f t="shared" si="22"/>
        <v>134000000</v>
      </c>
      <c r="V126" s="40">
        <f t="shared" si="23"/>
        <v>134000000</v>
      </c>
    </row>
    <row r="127" spans="1:22" ht="30" x14ac:dyDescent="0.25">
      <c r="A127" s="191" t="s">
        <v>342</v>
      </c>
      <c r="B127" s="2" t="s">
        <v>343</v>
      </c>
      <c r="C127">
        <v>510</v>
      </c>
      <c r="D127" s="40">
        <v>31000000</v>
      </c>
      <c r="E127" s="40"/>
      <c r="F127" s="40"/>
      <c r="G127" s="40"/>
      <c r="H127" s="40"/>
      <c r="I127" s="40"/>
      <c r="J127" s="40"/>
      <c r="K127" s="40">
        <f t="shared" si="22"/>
        <v>31000000</v>
      </c>
      <c r="V127" s="40">
        <f t="shared" si="23"/>
        <v>31000000</v>
      </c>
    </row>
    <row r="128" spans="1:22" x14ac:dyDescent="0.25">
      <c r="A128" s="191" t="s">
        <v>344</v>
      </c>
      <c r="B128" s="2" t="s">
        <v>345</v>
      </c>
      <c r="C128">
        <v>510</v>
      </c>
      <c r="D128" s="40">
        <v>2000000</v>
      </c>
      <c r="E128" s="40"/>
      <c r="F128" s="40"/>
      <c r="G128" s="40"/>
      <c r="H128" s="40"/>
      <c r="I128" s="40"/>
      <c r="J128" s="40"/>
      <c r="K128" s="40">
        <f t="shared" si="22"/>
        <v>2000000</v>
      </c>
      <c r="V128" s="40">
        <f t="shared" si="23"/>
        <v>2000000</v>
      </c>
    </row>
    <row r="129" spans="1:22" ht="30" x14ac:dyDescent="0.25">
      <c r="A129" s="191" t="s">
        <v>347</v>
      </c>
      <c r="B129" s="2" t="s">
        <v>348</v>
      </c>
      <c r="C129">
        <v>510</v>
      </c>
      <c r="D129" s="40">
        <v>50000000</v>
      </c>
      <c r="E129" s="40"/>
      <c r="F129" s="40"/>
      <c r="G129" s="40"/>
      <c r="H129" s="40"/>
      <c r="I129" s="40"/>
      <c r="J129" s="40"/>
      <c r="K129" s="40">
        <f t="shared" si="22"/>
        <v>50000000</v>
      </c>
      <c r="V129" s="40">
        <f t="shared" si="23"/>
        <v>50000000</v>
      </c>
    </row>
    <row r="130" spans="1:22" ht="30" x14ac:dyDescent="0.25">
      <c r="A130" s="191" t="s">
        <v>352</v>
      </c>
      <c r="B130" s="2" t="s">
        <v>353</v>
      </c>
      <c r="C130">
        <v>310</v>
      </c>
      <c r="D130" s="40">
        <v>217000000</v>
      </c>
      <c r="E130" s="40"/>
      <c r="F130" s="40"/>
      <c r="G130" s="40"/>
      <c r="H130" s="40"/>
      <c r="I130" s="40"/>
      <c r="J130" s="40"/>
      <c r="K130" s="40">
        <f t="shared" si="22"/>
        <v>217000000</v>
      </c>
      <c r="N130">
        <v>1500000</v>
      </c>
      <c r="V130" s="40">
        <f t="shared" si="23"/>
        <v>218500000</v>
      </c>
    </row>
    <row r="131" spans="1:22" x14ac:dyDescent="0.25">
      <c r="A131" s="225"/>
      <c r="B131" s="225"/>
      <c r="C131" s="225"/>
      <c r="D131" s="226">
        <f t="shared" ref="D131" si="38">SUM(D113:D130)</f>
        <v>2848649070</v>
      </c>
      <c r="E131" s="226">
        <f t="shared" ref="E131" si="39">SUM(E113:E130)</f>
        <v>2334523341</v>
      </c>
      <c r="F131" s="226">
        <f t="shared" ref="F131" si="40">SUM(F113:F130)</f>
        <v>1031716286</v>
      </c>
      <c r="G131" s="226">
        <f t="shared" ref="G131" si="41">SUM(G113:G130)</f>
        <v>0</v>
      </c>
      <c r="H131" s="226">
        <f t="shared" ref="H131" si="42">SUM(H113:H130)</f>
        <v>0</v>
      </c>
      <c r="I131" s="226">
        <f t="shared" ref="I131" si="43">SUM(I113:I130)</f>
        <v>0</v>
      </c>
      <c r="J131" s="226">
        <f t="shared" ref="J131" si="44">SUM(J113:J130)</f>
        <v>0</v>
      </c>
      <c r="K131" s="226">
        <f t="shared" ref="K131:M131" si="45">SUM(K113:K130)</f>
        <v>6214888697</v>
      </c>
      <c r="L131" s="226">
        <f t="shared" si="45"/>
        <v>40761231</v>
      </c>
      <c r="M131" s="226">
        <f t="shared" si="45"/>
        <v>3600476</v>
      </c>
      <c r="N131" s="226">
        <f t="shared" ref="N131:S131" si="46">SUM(N113:N130)</f>
        <v>72868662</v>
      </c>
      <c r="O131" s="226">
        <f t="shared" si="46"/>
        <v>153485735</v>
      </c>
      <c r="P131" s="226">
        <f t="shared" si="46"/>
        <v>257081606</v>
      </c>
      <c r="Q131" s="226">
        <f t="shared" si="46"/>
        <v>0</v>
      </c>
      <c r="R131" s="226">
        <f t="shared" si="46"/>
        <v>0</v>
      </c>
      <c r="S131" s="226">
        <f t="shared" si="46"/>
        <v>0</v>
      </c>
      <c r="T131" s="226">
        <f t="shared" ref="T131:V131" si="47">SUM(T113:T130)</f>
        <v>227543349</v>
      </c>
      <c r="U131" s="226">
        <f t="shared" si="47"/>
        <v>227543349</v>
      </c>
      <c r="V131" s="226">
        <f t="shared" si="47"/>
        <v>6742686407</v>
      </c>
    </row>
    <row r="132" spans="1:22" x14ac:dyDescent="0.25">
      <c r="D132" s="40">
        <f>D131+D112+D96+D63+D25</f>
        <v>14617985503</v>
      </c>
      <c r="E132" s="40">
        <f>E131+E112+E96+E63+E25</f>
        <v>4060909974</v>
      </c>
      <c r="F132" s="40">
        <f>F131+F112+F96+F63+F25</f>
        <v>1228761985</v>
      </c>
      <c r="G132" s="40">
        <f t="shared" ref="G132:S132" si="48">G131+G112+G96+G63+G25</f>
        <v>158290131</v>
      </c>
      <c r="H132" s="40">
        <f t="shared" si="48"/>
        <v>170000000</v>
      </c>
      <c r="I132" s="40">
        <f t="shared" ref="I132" si="49">I131+I112+I96+I63+I25</f>
        <v>202000000</v>
      </c>
      <c r="J132" s="40">
        <f t="shared" ref="J132" si="50">J131+J112+J96+J63+J25</f>
        <v>0</v>
      </c>
      <c r="K132" s="40">
        <f t="shared" si="48"/>
        <v>19717367331</v>
      </c>
      <c r="L132" s="40">
        <f t="shared" si="48"/>
        <v>101761231</v>
      </c>
      <c r="M132" s="40">
        <f t="shared" si="48"/>
        <v>10100476</v>
      </c>
      <c r="N132" s="40">
        <f t="shared" si="48"/>
        <v>239155967</v>
      </c>
      <c r="O132" s="40">
        <f t="shared" si="48"/>
        <v>153485735</v>
      </c>
      <c r="P132" s="40">
        <f t="shared" si="48"/>
        <v>424081606</v>
      </c>
      <c r="Q132" s="40">
        <f t="shared" si="48"/>
        <v>104039242</v>
      </c>
      <c r="R132" s="40">
        <f t="shared" si="48"/>
        <v>14826876</v>
      </c>
      <c r="S132" s="40">
        <f t="shared" si="48"/>
        <v>14826876</v>
      </c>
      <c r="T132" s="40">
        <f t="shared" ref="T132" si="51">T131+T112+T96+T63+T25</f>
        <v>229543349</v>
      </c>
      <c r="U132" s="40">
        <f t="shared" ref="U132:V132" si="52">U131+U112+U96+U63+U25</f>
        <v>229543349</v>
      </c>
      <c r="V132" s="40">
        <f t="shared" si="52"/>
        <v>20749991588</v>
      </c>
    </row>
    <row r="133" spans="1:22" x14ac:dyDescent="0.25">
      <c r="N133">
        <v>239155967</v>
      </c>
    </row>
    <row r="134" spans="1:22" x14ac:dyDescent="0.25">
      <c r="N134" s="40">
        <f>N133-N132</f>
        <v>0</v>
      </c>
    </row>
  </sheetData>
  <mergeCells count="1">
    <mergeCell ref="C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T57"/>
  <sheetViews>
    <sheetView topLeftCell="B13" workbookViewId="0">
      <selection activeCell="B8" sqref="B8:B14"/>
    </sheetView>
  </sheetViews>
  <sheetFormatPr baseColWidth="10" defaultRowHeight="15" x14ac:dyDescent="0.25"/>
  <cols>
    <col min="1" max="1" width="33.85546875" customWidth="1"/>
    <col min="2" max="2" width="17.5703125" customWidth="1"/>
    <col min="4" max="4" width="13" customWidth="1"/>
    <col min="8" max="8" width="26.28515625" customWidth="1"/>
    <col min="18" max="18" width="12.7109375" bestFit="1" customWidth="1"/>
    <col min="19" max="19" width="16.28515625" customWidth="1"/>
  </cols>
  <sheetData>
    <row r="6" spans="1:20" ht="19.5" x14ac:dyDescent="0.3">
      <c r="A6" s="556" t="s">
        <v>386</v>
      </c>
      <c r="B6" s="556"/>
      <c r="C6" s="556"/>
      <c r="D6" s="556"/>
      <c r="E6" s="556"/>
      <c r="F6" s="556"/>
    </row>
    <row r="7" spans="1:20" ht="45" x14ac:dyDescent="0.25">
      <c r="A7" s="135" t="s">
        <v>377</v>
      </c>
      <c r="B7" s="137" t="s">
        <v>378</v>
      </c>
      <c r="C7" s="135" t="s">
        <v>379</v>
      </c>
      <c r="D7" s="137" t="s">
        <v>380</v>
      </c>
      <c r="E7" s="137" t="s">
        <v>381</v>
      </c>
      <c r="F7" s="137" t="s">
        <v>382</v>
      </c>
      <c r="I7" s="55"/>
      <c r="J7" s="55"/>
      <c r="K7" s="55"/>
      <c r="L7" s="55" t="s">
        <v>579</v>
      </c>
      <c r="M7" s="55" t="s">
        <v>580</v>
      </c>
      <c r="N7" s="55" t="s">
        <v>581</v>
      </c>
      <c r="O7" s="55" t="s">
        <v>582</v>
      </c>
      <c r="P7" s="55" t="s">
        <v>583</v>
      </c>
      <c r="Q7" s="55"/>
      <c r="R7" s="138" t="s">
        <v>584</v>
      </c>
      <c r="S7" s="138" t="s">
        <v>585</v>
      </c>
      <c r="T7" s="55"/>
    </row>
    <row r="8" spans="1:20" ht="15.75" customHeight="1" x14ac:dyDescent="0.25">
      <c r="A8" s="544" t="str">
        <f>'S. BIENESTAR'!B4</f>
        <v>SB-PY1.   Universidad Saludable.</v>
      </c>
      <c r="B8" s="547">
        <v>0.18</v>
      </c>
      <c r="C8" s="1" t="s">
        <v>253</v>
      </c>
      <c r="D8" s="52" t="e">
        <f>'S. BIENESTAR'!#REF!</f>
        <v>#REF!</v>
      </c>
      <c r="E8" s="550" t="e">
        <f>B8*Q8</f>
        <v>#DIV/0!</v>
      </c>
      <c r="F8" s="553">
        <f>T8</f>
        <v>0</v>
      </c>
      <c r="I8" s="56"/>
      <c r="J8" s="56" t="e">
        <f t="shared" ref="J8:J46" si="0">IF(D8&lt;16%,"Rojo",IF(D8&lt;37%,"Amarillo",IF(D8&lt;50.1%,"Verde","Azul")))</f>
        <v>#REF!</v>
      </c>
      <c r="K8" s="56" t="s">
        <v>573</v>
      </c>
      <c r="L8" s="56">
        <f>COUNTIF($J$8:$J$14,"Rojo")</f>
        <v>0</v>
      </c>
      <c r="M8" s="56">
        <f>COUNTIF($J$8:$J$14,"Amarillo")</f>
        <v>0</v>
      </c>
      <c r="N8" s="56">
        <f>COUNTIF($J$8:$J$14,"Verde")</f>
        <v>0</v>
      </c>
      <c r="O8" s="56">
        <f>COUNTIF($J$8:$J$14,"Azul")</f>
        <v>0</v>
      </c>
      <c r="P8" s="56">
        <f>SUM(L8:O8)</f>
        <v>0</v>
      </c>
      <c r="Q8" s="140" t="e">
        <f t="shared" ref="Q8:Q12" si="1">((100/P8)*SUM(M8:O8)/100)</f>
        <v>#DIV/0!</v>
      </c>
      <c r="R8" s="139" t="e">
        <f>'S. BIENESTAR'!#REF!+'S. BIENESTAR'!#REF!+'S. BIENESTAR'!#REF!+'S. BIENESTAR'!#REF!+'S. BIENESTAR'!#REF!+'S. BIENESTAR'!#REF!+'S. BIENESTAR'!#REF!</f>
        <v>#REF!</v>
      </c>
      <c r="S8" s="139" t="e">
        <f>'S. BIENESTAR'!#REF!+'S. BIENESTAR'!#REF!+'S. BIENESTAR'!#REF!+'S. BIENESTAR'!#REF!+'S. BIENESTAR'!#REF!+'S. BIENESTAR'!#REF!+'S. BIENESTAR'!#REF!</f>
        <v>#REF!</v>
      </c>
      <c r="T8" s="141">
        <f>IFERROR(S8/R8,0)</f>
        <v>0</v>
      </c>
    </row>
    <row r="9" spans="1:20" x14ac:dyDescent="0.25">
      <c r="A9" s="545"/>
      <c r="B9" s="548"/>
      <c r="C9" s="1" t="s">
        <v>257</v>
      </c>
      <c r="D9" s="233" t="e">
        <f>'S. BIENESTAR'!#REF!</f>
        <v>#REF!</v>
      </c>
      <c r="E9" s="551"/>
      <c r="F9" s="554"/>
      <c r="I9" s="56"/>
      <c r="J9" s="56" t="e">
        <f t="shared" si="0"/>
        <v>#REF!</v>
      </c>
      <c r="K9" s="56" t="s">
        <v>574</v>
      </c>
      <c r="L9" s="56">
        <f>COUNTIF($J$15:$J$15,"Rojo")</f>
        <v>0</v>
      </c>
      <c r="M9" s="56">
        <f>COUNTIF($J$15:$J$15,"Amarillo")</f>
        <v>0</v>
      </c>
      <c r="N9" s="56">
        <f>COUNTIF($J$15:$J$15,"Verde")</f>
        <v>1</v>
      </c>
      <c r="O9" s="56">
        <f>COUNTIF($J$15:$J$15,"Azul")</f>
        <v>0</v>
      </c>
      <c r="P9" s="56">
        <f t="shared" ref="P9:P13" si="2">SUM(L9:O9)</f>
        <v>1</v>
      </c>
      <c r="Q9" s="140">
        <f t="shared" si="1"/>
        <v>1</v>
      </c>
      <c r="R9" s="139" t="e">
        <f>'S. BIENESTAR'!#REF!</f>
        <v>#REF!</v>
      </c>
      <c r="S9" s="139" t="e">
        <f>'S. BIENESTAR'!#REF!</f>
        <v>#REF!</v>
      </c>
      <c r="T9" s="141">
        <f t="shared" ref="T9:T13" si="3">IFERROR(S9/R9,0)</f>
        <v>0</v>
      </c>
    </row>
    <row r="10" spans="1:20" ht="15.75" customHeight="1" x14ac:dyDescent="0.25">
      <c r="A10" s="545"/>
      <c r="B10" s="548"/>
      <c r="C10" s="1" t="s">
        <v>259</v>
      </c>
      <c r="D10" s="233" t="e">
        <f>'S. BIENESTAR'!#REF!</f>
        <v>#REF!</v>
      </c>
      <c r="E10" s="551"/>
      <c r="F10" s="554"/>
      <c r="I10" s="56"/>
      <c r="J10" s="56" t="e">
        <f t="shared" si="0"/>
        <v>#REF!</v>
      </c>
      <c r="K10" s="56" t="s">
        <v>575</v>
      </c>
      <c r="L10" s="56">
        <f>COUNTIF($J$16:$J$16,"Rojo")</f>
        <v>0</v>
      </c>
      <c r="M10" s="56">
        <f>COUNTIF($J$16:$J$16,"Amarillo")</f>
        <v>0</v>
      </c>
      <c r="N10" s="56">
        <f>COUNTIF($J$16:$J$16,"Verde")</f>
        <v>0</v>
      </c>
      <c r="O10" s="56">
        <f>COUNTIF($J$16:$J$16,"Azul")</f>
        <v>1</v>
      </c>
      <c r="P10" s="56">
        <f t="shared" si="2"/>
        <v>1</v>
      </c>
      <c r="Q10" s="140">
        <f t="shared" si="1"/>
        <v>1</v>
      </c>
      <c r="R10" s="139" t="e">
        <f>'S. BIENESTAR'!#REF!</f>
        <v>#REF!</v>
      </c>
      <c r="S10" s="139" t="e">
        <f>'S. BIENESTAR'!#REF!</f>
        <v>#REF!</v>
      </c>
      <c r="T10" s="141">
        <f t="shared" si="3"/>
        <v>0</v>
      </c>
    </row>
    <row r="11" spans="1:20" x14ac:dyDescent="0.25">
      <c r="A11" s="545"/>
      <c r="B11" s="548"/>
      <c r="C11" s="1" t="s">
        <v>261</v>
      </c>
      <c r="D11" s="233" t="e">
        <f>'S. BIENESTAR'!#REF!</f>
        <v>#REF!</v>
      </c>
      <c r="E11" s="551"/>
      <c r="F11" s="554"/>
      <c r="I11" s="56"/>
      <c r="J11" s="56" t="e">
        <f t="shared" si="0"/>
        <v>#REF!</v>
      </c>
      <c r="K11" s="56" t="s">
        <v>576</v>
      </c>
      <c r="L11" s="56">
        <f>COUNTIF($J$17:$J$17,"Rojo")</f>
        <v>0</v>
      </c>
      <c r="M11" s="56">
        <f>COUNTIF($J$17:$J$17,"Amarillo")</f>
        <v>0</v>
      </c>
      <c r="N11" s="56">
        <f>COUNTIF($J$17:$J$17,"Verde")</f>
        <v>0</v>
      </c>
      <c r="O11" s="56">
        <f>COUNTIF($J$17:$J$17,"Azul")</f>
        <v>0</v>
      </c>
      <c r="P11" s="56">
        <f t="shared" si="2"/>
        <v>0</v>
      </c>
      <c r="Q11" s="140" t="e">
        <f t="shared" si="1"/>
        <v>#DIV/0!</v>
      </c>
      <c r="R11" s="139" t="e">
        <f>'S. BIENESTAR'!#REF!</f>
        <v>#REF!</v>
      </c>
      <c r="S11" s="139" t="e">
        <f>'S. BIENESTAR'!#REF!</f>
        <v>#REF!</v>
      </c>
      <c r="T11" s="141">
        <f t="shared" si="3"/>
        <v>0</v>
      </c>
    </row>
    <row r="12" spans="1:20" ht="15.75" customHeight="1" x14ac:dyDescent="0.25">
      <c r="A12" s="545"/>
      <c r="B12" s="548"/>
      <c r="C12" s="1" t="s">
        <v>264</v>
      </c>
      <c r="D12" s="233" t="e">
        <f>'S. BIENESTAR'!#REF!</f>
        <v>#REF!</v>
      </c>
      <c r="E12" s="551"/>
      <c r="F12" s="554"/>
      <c r="I12" s="56"/>
      <c r="J12" s="56" t="e">
        <f t="shared" si="0"/>
        <v>#REF!</v>
      </c>
      <c r="K12" s="56" t="s">
        <v>577</v>
      </c>
      <c r="L12" s="56">
        <f>COUNTIF($J$18:$J$20,"Rojo")</f>
        <v>0</v>
      </c>
      <c r="M12" s="56">
        <f>COUNTIF($J$18:$J$20,"Amarillo")</f>
        <v>0</v>
      </c>
      <c r="N12" s="56">
        <f>COUNTIF($J$18:$J$20,"Verde")</f>
        <v>1</v>
      </c>
      <c r="O12" s="56">
        <f>COUNTIF($J$18:$J$20,"Azul")</f>
        <v>2</v>
      </c>
      <c r="P12" s="56">
        <f t="shared" si="2"/>
        <v>3</v>
      </c>
      <c r="Q12" s="140">
        <f t="shared" si="1"/>
        <v>1</v>
      </c>
      <c r="R12" s="139" t="e">
        <f>'S. BIENESTAR'!#REF!+'S. BIENESTAR'!#REF!+'S. BIENESTAR'!#REF!+'S. BIENESTAR'!#REF!</f>
        <v>#REF!</v>
      </c>
      <c r="S12" s="139" t="e">
        <f>'S. BIENESTAR'!#REF!+'S. BIENESTAR'!#REF!+'S. BIENESTAR'!#REF!+'S. BIENESTAR'!#REF!</f>
        <v>#REF!</v>
      </c>
      <c r="T12" s="141">
        <f t="shared" si="3"/>
        <v>0</v>
      </c>
    </row>
    <row r="13" spans="1:20" ht="15.75" customHeight="1" x14ac:dyDescent="0.25">
      <c r="A13" s="545"/>
      <c r="B13" s="548"/>
      <c r="C13" s="1" t="s">
        <v>266</v>
      </c>
      <c r="D13" s="233" t="e">
        <f>'S. BIENESTAR'!#REF!</f>
        <v>#REF!</v>
      </c>
      <c r="E13" s="551"/>
      <c r="F13" s="554"/>
      <c r="I13" s="56"/>
      <c r="J13" s="56" t="e">
        <f t="shared" si="0"/>
        <v>#REF!</v>
      </c>
      <c r="K13" s="56" t="s">
        <v>586</v>
      </c>
      <c r="L13" s="56">
        <f>COUNTIF($J$21:$J$21,"Rojo")</f>
        <v>0</v>
      </c>
      <c r="M13" s="56">
        <f>COUNTIF($J$21:$J$21,"Amarillo")</f>
        <v>0</v>
      </c>
      <c r="N13" s="56">
        <f>COUNTIF($J$21:$J$21,"Verde")</f>
        <v>0</v>
      </c>
      <c r="O13" s="56">
        <f>COUNTIF($J$21:$J$21,"Azul")</f>
        <v>0</v>
      </c>
      <c r="P13" s="56">
        <f t="shared" si="2"/>
        <v>0</v>
      </c>
      <c r="Q13" s="140">
        <v>0.15509999999999999</v>
      </c>
      <c r="R13" s="139" t="e">
        <f>'S. BIENESTAR'!#REF!</f>
        <v>#REF!</v>
      </c>
      <c r="S13" s="139" t="e">
        <f>'S. BIENESTAR'!#REF!</f>
        <v>#REF!</v>
      </c>
      <c r="T13" s="141">
        <f t="shared" si="3"/>
        <v>0</v>
      </c>
    </row>
    <row r="14" spans="1:20" ht="15.75" customHeight="1" x14ac:dyDescent="0.25">
      <c r="A14" s="546"/>
      <c r="B14" s="549"/>
      <c r="C14" s="1" t="s">
        <v>591</v>
      </c>
      <c r="D14" s="233" t="e">
        <f>'S. BIENESTAR'!#REF!</f>
        <v>#REF!</v>
      </c>
      <c r="E14" s="552"/>
      <c r="F14" s="555"/>
      <c r="I14" s="56"/>
      <c r="J14" s="56" t="e">
        <f t="shared" si="0"/>
        <v>#REF!</v>
      </c>
      <c r="K14" s="56"/>
      <c r="L14" s="56"/>
      <c r="M14" s="56"/>
      <c r="N14" s="56"/>
      <c r="O14" s="56"/>
      <c r="P14" s="56"/>
      <c r="Q14" s="140"/>
      <c r="R14" s="139" t="e">
        <f>SUM(R8:R13)</f>
        <v>#REF!</v>
      </c>
      <c r="S14" s="139" t="e">
        <f>SUM(S8:S13)</f>
        <v>#REF!</v>
      </c>
      <c r="T14" s="141"/>
    </row>
    <row r="15" spans="1:20" ht="36" customHeight="1" x14ac:dyDescent="0.25">
      <c r="A15" s="70">
        <f>'S. BIENESTAR'!B17</f>
        <v>0</v>
      </c>
      <c r="B15" s="71">
        <v>0.18</v>
      </c>
      <c r="C15" s="1" t="s">
        <v>276</v>
      </c>
      <c r="D15" s="52">
        <f>AVERAGE('S. BIENESTAR'!T17:T18)</f>
        <v>0.47470698398670119</v>
      </c>
      <c r="E15" s="166">
        <f>B15*Q9</f>
        <v>0.18</v>
      </c>
      <c r="F15" s="165">
        <f>T9</f>
        <v>0</v>
      </c>
      <c r="I15" s="56"/>
      <c r="J15" s="56" t="str">
        <f t="shared" si="0"/>
        <v>Verde</v>
      </c>
      <c r="K15" s="56"/>
      <c r="L15" s="56"/>
      <c r="M15" s="56"/>
      <c r="N15" s="56"/>
      <c r="O15" s="56"/>
      <c r="P15" s="56"/>
      <c r="Q15" s="56"/>
      <c r="R15" s="56"/>
      <c r="S15" s="56"/>
      <c r="T15" s="56"/>
    </row>
    <row r="16" spans="1:20" x14ac:dyDescent="0.25">
      <c r="A16" s="162">
        <f>'S. BIENESTAR'!B19</f>
        <v>0</v>
      </c>
      <c r="B16" s="72">
        <v>0.18</v>
      </c>
      <c r="C16" s="1" t="s">
        <v>280</v>
      </c>
      <c r="D16" s="148">
        <f>AVERAGE('S. BIENESTAR'!T19:T21)</f>
        <v>0.65530303030303028</v>
      </c>
      <c r="E16" s="163">
        <f>B16*Q10</f>
        <v>0.18</v>
      </c>
      <c r="F16" s="142">
        <f>T10</f>
        <v>0</v>
      </c>
      <c r="I16" s="56"/>
      <c r="J16" s="56" t="str">
        <f t="shared" si="0"/>
        <v>Azul</v>
      </c>
      <c r="K16" s="56"/>
      <c r="L16" s="56"/>
      <c r="M16" s="56"/>
      <c r="N16" s="56"/>
      <c r="O16" s="56"/>
      <c r="P16" s="56"/>
      <c r="Q16" s="56"/>
      <c r="R16" s="56"/>
      <c r="S16" s="56"/>
      <c r="T16" s="56"/>
    </row>
    <row r="17" spans="1:20" ht="30" customHeight="1" x14ac:dyDescent="0.25">
      <c r="A17" s="164">
        <f>'S. BIENESTAR'!B22</f>
        <v>0</v>
      </c>
      <c r="B17" s="71">
        <v>0.1</v>
      </c>
      <c r="C17" s="1" t="s">
        <v>285</v>
      </c>
      <c r="D17" s="52" t="e">
        <f>'S. BIENESTAR'!#REF!</f>
        <v>#REF!</v>
      </c>
      <c r="E17" s="163" t="e">
        <f>B17*Q11</f>
        <v>#DIV/0!</v>
      </c>
      <c r="F17" s="142">
        <f>T11</f>
        <v>0</v>
      </c>
      <c r="I17" s="56"/>
      <c r="J17" s="56" t="e">
        <f t="shared" si="0"/>
        <v>#REF!</v>
      </c>
      <c r="K17" s="56"/>
      <c r="L17" s="56"/>
      <c r="M17" s="56"/>
      <c r="N17" s="56"/>
      <c r="O17" s="56"/>
      <c r="P17" s="56"/>
      <c r="Q17" s="56"/>
      <c r="R17" s="56"/>
      <c r="S17" s="56"/>
      <c r="T17" s="56"/>
    </row>
    <row r="18" spans="1:20" x14ac:dyDescent="0.25">
      <c r="A18" s="557">
        <f>'S. BIENESTAR'!B24</f>
        <v>0</v>
      </c>
      <c r="B18" s="547">
        <v>0.18</v>
      </c>
      <c r="C18" s="1" t="s">
        <v>290</v>
      </c>
      <c r="D18" s="52">
        <f>AVERAGE('S. BIENESTAR'!T24:T27)</f>
        <v>0.44846372631494613</v>
      </c>
      <c r="E18" s="560">
        <f>B18*Q12</f>
        <v>0.18</v>
      </c>
      <c r="F18" s="561">
        <f>T12</f>
        <v>0</v>
      </c>
      <c r="I18" s="56"/>
      <c r="J18" s="56" t="str">
        <f t="shared" si="0"/>
        <v>Verde</v>
      </c>
      <c r="K18" s="56"/>
      <c r="L18" s="56"/>
      <c r="M18" s="56"/>
      <c r="N18" s="56"/>
      <c r="O18" s="56"/>
      <c r="P18" s="56"/>
      <c r="Q18" s="56"/>
      <c r="R18" s="56"/>
      <c r="S18" s="56"/>
      <c r="T18" s="56"/>
    </row>
    <row r="19" spans="1:20" ht="15" customHeight="1" x14ac:dyDescent="0.25">
      <c r="A19" s="558"/>
      <c r="B19" s="409"/>
      <c r="C19" s="1" t="s">
        <v>291</v>
      </c>
      <c r="D19" s="52">
        <f>'S. BIENESTAR'!T28</f>
        <v>0.7</v>
      </c>
      <c r="E19" s="560"/>
      <c r="F19" s="394"/>
      <c r="I19" s="56"/>
      <c r="J19" s="56" t="str">
        <f t="shared" si="0"/>
        <v>Azul</v>
      </c>
      <c r="K19" s="56"/>
      <c r="L19" s="56"/>
      <c r="M19" s="56"/>
      <c r="N19" s="56"/>
      <c r="O19" s="56"/>
      <c r="P19" s="56"/>
      <c r="Q19" s="56"/>
      <c r="R19" s="56"/>
      <c r="S19" s="56"/>
      <c r="T19" s="56"/>
    </row>
    <row r="20" spans="1:20" ht="15" customHeight="1" x14ac:dyDescent="0.25">
      <c r="A20" s="559"/>
      <c r="B20" s="410"/>
      <c r="C20" s="1" t="s">
        <v>293</v>
      </c>
      <c r="D20" s="52">
        <f>'S. BIENESTAR'!T29</f>
        <v>844</v>
      </c>
      <c r="E20" s="560"/>
      <c r="F20" s="394"/>
      <c r="I20" s="56"/>
      <c r="J20" s="56" t="str">
        <f t="shared" si="0"/>
        <v>Azul</v>
      </c>
      <c r="K20" s="56"/>
      <c r="L20" s="56"/>
      <c r="M20" s="56"/>
      <c r="N20" s="56"/>
      <c r="O20" s="56"/>
      <c r="P20" s="56"/>
      <c r="Q20" s="56"/>
      <c r="R20" s="56"/>
      <c r="S20" s="56"/>
      <c r="T20" s="56"/>
    </row>
    <row r="21" spans="1:20" ht="30" x14ac:dyDescent="0.25">
      <c r="A21" s="68" t="str">
        <f>'S. BIENESTAR'!B30</f>
        <v>TOTAL SUBSISTEMA BIENESTAR UNIVERSITARIO</v>
      </c>
      <c r="B21" s="71">
        <v>0.18</v>
      </c>
      <c r="C21" s="1" t="s">
        <v>296</v>
      </c>
      <c r="D21" s="52" t="e">
        <f>'S. BIENESTAR'!#REF!</f>
        <v>#REF!</v>
      </c>
      <c r="E21" s="50">
        <f>B18*Q13</f>
        <v>2.7917999999999998E-2</v>
      </c>
      <c r="F21" s="142">
        <f>T13</f>
        <v>0</v>
      </c>
      <c r="I21" s="56"/>
      <c r="J21" s="56" t="e">
        <f t="shared" si="0"/>
        <v>#REF!</v>
      </c>
      <c r="K21" s="56"/>
      <c r="L21" s="56"/>
      <c r="M21" s="56"/>
      <c r="N21" s="56"/>
      <c r="O21" s="56"/>
      <c r="P21" s="56"/>
      <c r="Q21" s="56"/>
      <c r="R21" s="56"/>
      <c r="S21" s="56"/>
      <c r="T21" s="56"/>
    </row>
    <row r="22" spans="1:20" ht="15" customHeight="1" x14ac:dyDescent="0.25">
      <c r="A22" s="543" t="s">
        <v>387</v>
      </c>
      <c r="B22" s="543"/>
      <c r="C22" s="543"/>
      <c r="D22" s="543"/>
      <c r="E22" s="143" t="e">
        <f>AVERAGE(E8:E21)</f>
        <v>#DIV/0!</v>
      </c>
      <c r="F22" s="143">
        <f>AVERAGE(F8:F21)</f>
        <v>0</v>
      </c>
      <c r="I22" s="56"/>
      <c r="J22" s="56" t="str">
        <f t="shared" si="0"/>
        <v>Rojo</v>
      </c>
      <c r="K22" s="56"/>
      <c r="L22" s="56"/>
      <c r="M22" s="56"/>
      <c r="N22" s="56"/>
      <c r="O22" s="56"/>
      <c r="P22" s="56"/>
      <c r="Q22" s="56"/>
      <c r="R22" s="56"/>
      <c r="S22" s="56"/>
      <c r="T22" s="56"/>
    </row>
    <row r="23" spans="1:20" x14ac:dyDescent="0.25">
      <c r="C23" s="65" t="s">
        <v>388</v>
      </c>
      <c r="I23" s="56"/>
      <c r="J23" s="56" t="str">
        <f t="shared" si="0"/>
        <v>Rojo</v>
      </c>
      <c r="K23" s="56"/>
      <c r="L23" s="56"/>
      <c r="M23" s="56"/>
      <c r="N23" s="56"/>
      <c r="O23" s="56"/>
      <c r="P23" s="56"/>
      <c r="Q23" s="56"/>
      <c r="R23" s="56"/>
      <c r="S23" s="56"/>
      <c r="T23" s="56"/>
    </row>
    <row r="24" spans="1:20" x14ac:dyDescent="0.25">
      <c r="F24" s="249"/>
      <c r="I24" s="56"/>
      <c r="J24" s="56" t="str">
        <f t="shared" si="0"/>
        <v>Rojo</v>
      </c>
      <c r="K24" s="56"/>
      <c r="L24" s="56"/>
      <c r="M24" s="56"/>
      <c r="N24" s="56"/>
      <c r="O24" s="56"/>
      <c r="P24" s="56"/>
      <c r="Q24" s="56"/>
      <c r="R24" s="56"/>
      <c r="S24" s="56"/>
      <c r="T24" s="56"/>
    </row>
    <row r="25" spans="1:20" x14ac:dyDescent="0.25">
      <c r="I25" s="56"/>
      <c r="J25" s="56" t="str">
        <f t="shared" si="0"/>
        <v>Rojo</v>
      </c>
      <c r="K25" s="56"/>
      <c r="L25" s="56"/>
      <c r="M25" s="56"/>
      <c r="N25" s="56"/>
      <c r="O25" s="56"/>
      <c r="P25" s="56"/>
      <c r="Q25" s="56"/>
      <c r="R25" s="56"/>
      <c r="S25" s="56"/>
      <c r="T25" s="56"/>
    </row>
    <row r="26" spans="1:20" ht="15.75" x14ac:dyDescent="0.25">
      <c r="A26" s="63"/>
      <c r="B26" s="63"/>
      <c r="C26" s="63"/>
      <c r="D26" s="63"/>
      <c r="I26" s="56"/>
      <c r="J26" s="56" t="str">
        <f t="shared" si="0"/>
        <v>Rojo</v>
      </c>
      <c r="K26" s="56"/>
      <c r="L26" s="56"/>
      <c r="M26" s="56"/>
      <c r="N26" s="56"/>
      <c r="O26" s="56"/>
      <c r="P26" s="56"/>
      <c r="Q26" s="56"/>
      <c r="R26" s="56"/>
      <c r="S26" s="56"/>
      <c r="T26" s="56"/>
    </row>
    <row r="27" spans="1:20" ht="30" x14ac:dyDescent="0.25">
      <c r="A27" s="175" t="s">
        <v>377</v>
      </c>
      <c r="B27" s="175" t="s">
        <v>593</v>
      </c>
      <c r="C27" s="175" t="s">
        <v>595</v>
      </c>
      <c r="D27" s="175" t="s">
        <v>7</v>
      </c>
      <c r="J27" s="56" t="str">
        <f t="shared" si="0"/>
        <v>Azul</v>
      </c>
    </row>
    <row r="28" spans="1:20" x14ac:dyDescent="0.25">
      <c r="A28" s="10" t="str">
        <f>A8</f>
        <v>SB-PY1.   Universidad Saludable.</v>
      </c>
      <c r="B28" s="176" t="e">
        <f>Q8</f>
        <v>#DIV/0!</v>
      </c>
      <c r="C28" s="176">
        <f>F8</f>
        <v>0</v>
      </c>
      <c r="D28" s="176" t="e">
        <f>(B28+C28)/2</f>
        <v>#DIV/0!</v>
      </c>
      <c r="J28" s="56" t="e">
        <f t="shared" si="0"/>
        <v>#DIV/0!</v>
      </c>
    </row>
    <row r="29" spans="1:20" x14ac:dyDescent="0.25">
      <c r="A29" s="235">
        <f>A15</f>
        <v>0</v>
      </c>
      <c r="B29" s="234">
        <f t="shared" ref="B29:B33" si="4">Q9</f>
        <v>1</v>
      </c>
      <c r="C29" s="176">
        <f>F15</f>
        <v>0</v>
      </c>
      <c r="D29" s="176">
        <f t="shared" ref="D29:D33" si="5">(B29+C29)/2</f>
        <v>0.5</v>
      </c>
      <c r="J29" s="56" t="str">
        <f t="shared" si="0"/>
        <v>Verde</v>
      </c>
    </row>
    <row r="30" spans="1:20" x14ac:dyDescent="0.25">
      <c r="A30" s="235">
        <f>A16</f>
        <v>0</v>
      </c>
      <c r="B30" s="234">
        <f t="shared" si="4"/>
        <v>1</v>
      </c>
      <c r="C30" s="176">
        <f>F16</f>
        <v>0</v>
      </c>
      <c r="D30" s="176">
        <f t="shared" si="5"/>
        <v>0.5</v>
      </c>
      <c r="J30" s="56" t="str">
        <f t="shared" si="0"/>
        <v>Verde</v>
      </c>
    </row>
    <row r="31" spans="1:20" x14ac:dyDescent="0.25">
      <c r="A31" s="235">
        <f>A17</f>
        <v>0</v>
      </c>
      <c r="B31" s="234" t="e">
        <f t="shared" si="4"/>
        <v>#DIV/0!</v>
      </c>
      <c r="C31" s="176">
        <f>F17</f>
        <v>0</v>
      </c>
      <c r="D31" s="176" t="e">
        <f t="shared" si="5"/>
        <v>#DIV/0!</v>
      </c>
      <c r="J31" s="56" t="e">
        <f t="shared" si="0"/>
        <v>#DIV/0!</v>
      </c>
    </row>
    <row r="32" spans="1:20" x14ac:dyDescent="0.25">
      <c r="A32" s="235">
        <f>A18</f>
        <v>0</v>
      </c>
      <c r="B32" s="234">
        <f t="shared" si="4"/>
        <v>1</v>
      </c>
      <c r="C32" s="176">
        <f>F18</f>
        <v>0</v>
      </c>
      <c r="D32" s="176">
        <f t="shared" si="5"/>
        <v>0.5</v>
      </c>
      <c r="J32" s="56" t="str">
        <f t="shared" si="0"/>
        <v>Verde</v>
      </c>
    </row>
    <row r="33" spans="1:10" ht="30" x14ac:dyDescent="0.25">
      <c r="A33" s="235" t="str">
        <f>A21</f>
        <v>TOTAL SUBSISTEMA BIENESTAR UNIVERSITARIO</v>
      </c>
      <c r="B33" s="234">
        <f t="shared" si="4"/>
        <v>0.15509999999999999</v>
      </c>
      <c r="C33" s="176">
        <f>F21</f>
        <v>0</v>
      </c>
      <c r="D33" s="176">
        <f t="shared" si="5"/>
        <v>7.7549999999999994E-2</v>
      </c>
      <c r="J33" s="56" t="str">
        <f t="shared" si="0"/>
        <v>Rojo</v>
      </c>
    </row>
    <row r="34" spans="1:10" x14ac:dyDescent="0.25">
      <c r="A34" s="177" t="s">
        <v>592</v>
      </c>
      <c r="B34" s="176" t="e">
        <f>AVERAGE(B28:B33)</f>
        <v>#DIV/0!</v>
      </c>
      <c r="C34" s="176">
        <f t="shared" ref="C34:D34" si="6">AVERAGE(C28:C33)</f>
        <v>0</v>
      </c>
      <c r="D34" s="176" t="e">
        <f t="shared" si="6"/>
        <v>#DIV/0!</v>
      </c>
      <c r="J34" s="56" t="e">
        <f t="shared" si="0"/>
        <v>#DIV/0!</v>
      </c>
    </row>
    <row r="35" spans="1:10" x14ac:dyDescent="0.25">
      <c r="J35" s="56" t="str">
        <f t="shared" si="0"/>
        <v>Rojo</v>
      </c>
    </row>
    <row r="36" spans="1:10" x14ac:dyDescent="0.25">
      <c r="J36" s="56" t="str">
        <f t="shared" si="0"/>
        <v>Rojo</v>
      </c>
    </row>
    <row r="37" spans="1:10" x14ac:dyDescent="0.25">
      <c r="J37" s="56" t="str">
        <f t="shared" si="0"/>
        <v>Rojo</v>
      </c>
    </row>
    <row r="38" spans="1:10" x14ac:dyDescent="0.25">
      <c r="J38" s="56" t="str">
        <f t="shared" si="0"/>
        <v>Rojo</v>
      </c>
    </row>
    <row r="39" spans="1:10" x14ac:dyDescent="0.25">
      <c r="J39" s="56" t="str">
        <f t="shared" si="0"/>
        <v>Rojo</v>
      </c>
    </row>
    <row r="40" spans="1:10" x14ac:dyDescent="0.25">
      <c r="J40" s="56" t="str">
        <f t="shared" si="0"/>
        <v>Rojo</v>
      </c>
    </row>
    <row r="41" spans="1:10" x14ac:dyDescent="0.25">
      <c r="J41" s="56" t="str">
        <f t="shared" si="0"/>
        <v>Rojo</v>
      </c>
    </row>
    <row r="42" spans="1:10" x14ac:dyDescent="0.25">
      <c r="J42" s="56" t="str">
        <f t="shared" si="0"/>
        <v>Rojo</v>
      </c>
    </row>
    <row r="43" spans="1:10" x14ac:dyDescent="0.25">
      <c r="J43" s="56" t="str">
        <f t="shared" si="0"/>
        <v>Rojo</v>
      </c>
    </row>
    <row r="44" spans="1:10" x14ac:dyDescent="0.25">
      <c r="J44" s="56" t="str">
        <f t="shared" si="0"/>
        <v>Rojo</v>
      </c>
    </row>
    <row r="45" spans="1:10" ht="15" customHeight="1" x14ac:dyDescent="0.25">
      <c r="J45" s="56" t="str">
        <f t="shared" si="0"/>
        <v>Rojo</v>
      </c>
    </row>
    <row r="46" spans="1:10" x14ac:dyDescent="0.25">
      <c r="J46" s="56" t="str">
        <f t="shared" si="0"/>
        <v>Rojo</v>
      </c>
    </row>
    <row r="47" spans="1:10" ht="15" customHeight="1" x14ac:dyDescent="0.25">
      <c r="J47" s="56"/>
    </row>
    <row r="48" spans="1:10" x14ac:dyDescent="0.25">
      <c r="J48" s="56"/>
    </row>
    <row r="49" spans="10:10" ht="15" customHeight="1" x14ac:dyDescent="0.25">
      <c r="J49" s="56"/>
    </row>
    <row r="50" spans="10:10" x14ac:dyDescent="0.25">
      <c r="J50" s="56"/>
    </row>
    <row r="51" spans="10:10" ht="15" customHeight="1" x14ac:dyDescent="0.25">
      <c r="J51" s="56"/>
    </row>
    <row r="52" spans="10:10" x14ac:dyDescent="0.25">
      <c r="J52" s="56"/>
    </row>
    <row r="53" spans="10:10" x14ac:dyDescent="0.25">
      <c r="J53" s="56"/>
    </row>
    <row r="54" spans="10:10" x14ac:dyDescent="0.25">
      <c r="J54" s="56"/>
    </row>
    <row r="55" spans="10:10" ht="15" customHeight="1" x14ac:dyDescent="0.25">
      <c r="J55" s="56"/>
    </row>
    <row r="57" spans="10:10" ht="15" customHeight="1" x14ac:dyDescent="0.25"/>
  </sheetData>
  <mergeCells count="10">
    <mergeCell ref="A6:F6"/>
    <mergeCell ref="A18:A20"/>
    <mergeCell ref="B18:B20"/>
    <mergeCell ref="E18:E20"/>
    <mergeCell ref="F18:F20"/>
    <mergeCell ref="A22:D22"/>
    <mergeCell ref="A8:A14"/>
    <mergeCell ref="B8:B14"/>
    <mergeCell ref="E8:E14"/>
    <mergeCell ref="F8:F14"/>
  </mergeCells>
  <conditionalFormatting sqref="D8:D21">
    <cfRule type="cellIs" dxfId="371" priority="145" operator="greaterThan">
      <formula>50%</formula>
    </cfRule>
    <cfRule type="cellIs" dxfId="370" priority="146" operator="between">
      <formula>37.1%</formula>
      <formula>50%</formula>
    </cfRule>
    <cfRule type="cellIs" dxfId="369" priority="147" operator="between">
      <formula>16%</formula>
      <formula>37%</formula>
    </cfRule>
    <cfRule type="cellIs" dxfId="368" priority="148" operator="lessThan">
      <formula>16%</formula>
    </cfRule>
  </conditionalFormatting>
  <conditionalFormatting sqref="B28:D33">
    <cfRule type="cellIs" dxfId="367" priority="5" operator="greaterThan">
      <formula>50%</formula>
    </cfRule>
    <cfRule type="cellIs" dxfId="366" priority="6" operator="between">
      <formula>37.1%</formula>
      <formula>50%</formula>
    </cfRule>
    <cfRule type="cellIs" dxfId="365" priority="7" operator="between">
      <formula>16%</formula>
      <formula>37%</formula>
    </cfRule>
    <cfRule type="cellIs" dxfId="364" priority="8" operator="lessThan">
      <formula>16%</formula>
    </cfRule>
  </conditionalFormatting>
  <conditionalFormatting sqref="B34:D34">
    <cfRule type="cellIs" dxfId="363" priority="1" operator="greaterThan">
      <formula>50%</formula>
    </cfRule>
    <cfRule type="cellIs" dxfId="362" priority="2" operator="between">
      <formula>37.1%</formula>
      <formula>50%</formula>
    </cfRule>
    <cfRule type="cellIs" dxfId="361" priority="3" operator="between">
      <formula>16%</formula>
      <formula>37%</formula>
    </cfRule>
    <cfRule type="cellIs" dxfId="360" priority="4" operator="lessThan">
      <formula>16%</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Escala</vt:lpstr>
      <vt:lpstr>S. FORMACION</vt:lpstr>
      <vt:lpstr>S. PROY. SOCIAL </vt:lpstr>
      <vt:lpstr>S. INVESTIGACIÓN</vt:lpstr>
      <vt:lpstr>S. BIENESTAR</vt:lpstr>
      <vt:lpstr>S. ADMINISTRATIVO</vt:lpstr>
      <vt:lpstr>Ejecución $</vt:lpstr>
      <vt:lpstr>Asignación</vt:lpstr>
      <vt:lpstr>BIENESTAR</vt:lpstr>
      <vt:lpstr>PROPYECCION SOCIAL</vt:lpstr>
      <vt:lpstr>INVESTIGACIÓN</vt:lpstr>
      <vt:lpstr>FORMACIÓN</vt:lpstr>
      <vt:lpstr>ADMINISTRATIVO</vt:lpstr>
      <vt:lpstr>Plan desarroollo</vt:lpstr>
      <vt:lpstr>'S. ADMINISTRATIVO'!Títulos_a_imprimir</vt:lpstr>
      <vt:lpstr>'S. BIENESTAR'!Títulos_a_imprimir</vt:lpstr>
      <vt:lpstr>'S. FORMACION'!Títulos_a_imprimir</vt:lpstr>
      <vt:lpstr>'S. INVESTIGACIÓN'!Títulos_a_imprimir</vt:lpstr>
      <vt:lpstr>'S. PROY. SOCIAL '!Títulos_a_imprimir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Rocio Murillo</dc:creator>
  <cp:lastModifiedBy>Leidy Rocio Murillo</cp:lastModifiedBy>
  <cp:lastPrinted>2017-08-10T21:16:46Z</cp:lastPrinted>
  <dcterms:created xsi:type="dcterms:W3CDTF">2017-07-07T15:04:02Z</dcterms:created>
  <dcterms:modified xsi:type="dcterms:W3CDTF">2018-05-15T22:13:35Z</dcterms:modified>
</cp:coreProperties>
</file>